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28" windowHeight="8832" activeTab="0"/>
  </bookViews>
  <sheets>
    <sheet name="List" sheetId="1" r:id="rId1"/>
    <sheet name="Calc" sheetId="2" state="hidden" r:id="rId2"/>
    <sheet name="UK" sheetId="3" state="hidden" r:id="rId3"/>
    <sheet name="UTMConstants" sheetId="4" state="hidden" r:id="rId4"/>
    <sheet name="WGS842UTM" sheetId="5" state="hidden" r:id="rId5"/>
    <sheet name="UTM2WGS84" sheetId="6" state="hidden" r:id="rId6"/>
  </sheets>
  <externalReferences>
    <externalReference r:id="rId9"/>
  </externalReferences>
  <definedNames>
    <definedName name="Convert">'[1]Conversion'!$B$2</definedName>
    <definedName name="DDMVisable">'[1]Waypoints'!$AG$2</definedName>
    <definedName name="DDVisable">'[1]Waypoints'!$AH$2</definedName>
    <definedName name="Desc">'[1]Waypoints'!$AA$2</definedName>
    <definedName name="DescVisable">'[1]Waypoints'!$AK$2</definedName>
    <definedName name="DistVisible">'[1]Waypoints'!$AN$2</definedName>
    <definedName name="DMDVisable">'[1]Waypoints'!$AG$2</definedName>
    <definedName name="DMSVisable">'[1]Waypoints'!$AF$2</definedName>
    <definedName name="DMVisable">'[1]Waypoints'!$AG$2</definedName>
    <definedName name="EasyGPS">'[1]Waypoints'!$AC$2</definedName>
    <definedName name="ecc2sq" localSheetId="2">'UK'!$B$21</definedName>
    <definedName name="ecc2sq">#REF!</definedName>
    <definedName name="ecc4" localSheetId="2">'UK'!$B$19</definedName>
    <definedName name="ecc4">#REF!</definedName>
    <definedName name="ecc6" localSheetId="2">'UK'!$B$20</definedName>
    <definedName name="ecc6">#REF!</definedName>
    <definedName name="eccsc" localSheetId="2">'UK'!$B$18</definedName>
    <definedName name="eccsc">#REF!</definedName>
    <definedName name="ExportTable">'[1]Waypoints'!$B$5</definedName>
    <definedName name="ExportType">'[1]Waypoints'!$AE$2</definedName>
    <definedName name="FAQs">'[1]FAQs'!$C$3</definedName>
    <definedName name="FileName">'[1]Waypoints'!$AB$2</definedName>
    <definedName name="FileOnly">'[1]Waypoints'!$AD$2</definedName>
    <definedName name="ImportFileName">'[1]Waypoints'!$AP$2</definedName>
    <definedName name="ImportType">'[1]Waypoints'!$AO$2</definedName>
    <definedName name="InLatDegDecimal">'[1]Conversion'!$C$8</definedName>
    <definedName name="InLatDMDDeg">'[1]Conversion'!$C$6</definedName>
    <definedName name="InLatDMDMins">'[1]Conversion'!$D$6</definedName>
    <definedName name="InLatDMSDeg">'[1]Conversion'!$C$4</definedName>
    <definedName name="InLatDMSMins">'[1]Conversion'!$D$4</definedName>
    <definedName name="InLatDMSNS">'[1]Conversion'!$F$4</definedName>
    <definedName name="InLatDMSSecs">'[1]Conversion'!$E$4</definedName>
    <definedName name="InLongDegDecimal">'[1]Conversion'!$C$16</definedName>
    <definedName name="InLongDMDDeg">'[1]Conversion'!$C$14</definedName>
    <definedName name="InLongDMDMin">'[1]Conversion'!$D$14</definedName>
    <definedName name="InLongDMSDeg">'[1]Conversion'!$C$12</definedName>
    <definedName name="InLongDMSEW">'[1]Conversion'!$F$12</definedName>
    <definedName name="InLongDMSMins">'[1]Conversion'!$D$12</definedName>
    <definedName name="InLongDMSSecs">'[1]Conversion'!$E$12</definedName>
    <definedName name="InPcodeLat">'[1]Conversion'!$J$37</definedName>
    <definedName name="InPcodeLong">'[1]Conversion'!$J$38</definedName>
    <definedName name="InPcodeUKGrid">'[1]Conversion'!$J$36</definedName>
    <definedName name="InUKGrid">'[1]Conversion'!$C$28</definedName>
    <definedName name="InUKGridActive">'[1]Conversion'!$H$28</definedName>
    <definedName name="InUKPCodeActive">'[1]Conversion'!$H$32</definedName>
    <definedName name="InUKPostCode">'[1]Conversion'!$C$32</definedName>
    <definedName name="InUTMEasting">'[1]Conversion'!$C$23</definedName>
    <definedName name="INUTMNorthing">'[1]Conversion'!$E$23</definedName>
    <definedName name="InUTMZone">'[1]Conversion'!$C$20</definedName>
    <definedName name="LatArrayOrigin" localSheetId="2">'UK'!$B$13</definedName>
    <definedName name="LatArrayOrigin">#REF!</definedName>
    <definedName name="LatDDecActive">'[1]Conversion'!$H$8</definedName>
    <definedName name="LatDMDActive">'[1]Conversion'!$H$6</definedName>
    <definedName name="LatDMSActive">'[1]Conversion'!$H$4</definedName>
    <definedName name="LatNegativeDegrees">'[1]Conversion'!$J$6</definedName>
    <definedName name="LatOutDD">'[1]Conversion'!$I$8</definedName>
    <definedName name="LongArrayOrigin" localSheetId="2">'UK'!$B$12</definedName>
    <definedName name="LongArrayOrigin">#REF!</definedName>
    <definedName name="LongDDecActive">'[1]Conversion'!$H$16</definedName>
    <definedName name="LongDMDActive">'[1]Conversion'!$H$14</definedName>
    <definedName name="LongDMSActive">'[1]Conversion'!$H$12</definedName>
    <definedName name="LongNegativeDegrees">'[1]Conversion'!$J$14</definedName>
    <definedName name="LongNegZero">'[1]Conversion'!$J$19</definedName>
    <definedName name="LongOutDD">'[1]Conversion'!$I$16</definedName>
    <definedName name="LongWest">'[1]Conversion'!$J$18</definedName>
    <definedName name="MajorAxis" localSheetId="2">'UK'!$B$132</definedName>
    <definedName name="MajorAxis">#REF!</definedName>
    <definedName name="majsc" localSheetId="2">'UK'!$B$16</definedName>
    <definedName name="majsc">#REF!</definedName>
    <definedName name="MinorAxis" localSheetId="2">'UK'!$B$133</definedName>
    <definedName name="MinorAxis">#REF!</definedName>
    <definedName name="minsc" localSheetId="2">'UK'!$B$17</definedName>
    <definedName name="minsc">#REF!</definedName>
    <definedName name="Molod_Da" localSheetId="2">'UK'!$B$136</definedName>
    <definedName name="Molod_Da">#REF!</definedName>
    <definedName name="Molod_Df" localSheetId="2">'UK'!$B$137</definedName>
    <definedName name="Molod_Df">#REF!</definedName>
    <definedName name="Molod_Dx" localSheetId="2">'UK'!$B$138</definedName>
    <definedName name="Molod_Dx">#REF!</definedName>
    <definedName name="Molod_Dy" localSheetId="2">'UK'!$B$139</definedName>
    <definedName name="Molod_Dy">#REF!</definedName>
    <definedName name="Molod_Dz" localSheetId="2">'UK'!$B$140</definedName>
    <definedName name="Molod_Dz">#REF!</definedName>
    <definedName name="molod_WGS84_a" localSheetId="2">'UK'!$B$142</definedName>
    <definedName name="molod_WGS84_a">#REF!</definedName>
    <definedName name="molod_WGS84_f" localSheetId="2">'UK'!$B$143</definedName>
    <definedName name="molod_WGS84_f">#REF!</definedName>
    <definedName name="OrignA1" localSheetId="2">'UK'!#REF!</definedName>
    <definedName name="OrignA1">#REF!</definedName>
    <definedName name="OrignA2" localSheetId="2">'UK'!#REF!</definedName>
    <definedName name="OrignA2">#REF!</definedName>
    <definedName name="OrignA3" localSheetId="2">'UK'!#REF!</definedName>
    <definedName name="OrignA3">#REF!</definedName>
    <definedName name="OrignA4" localSheetId="2">'UK'!#REF!</definedName>
    <definedName name="OrignA4">#REF!</definedName>
    <definedName name="OrignA5" localSheetId="2">'UK'!#REF!</definedName>
    <definedName name="OrignA5">#REF!</definedName>
    <definedName name="OrignA6" localSheetId="2">'UK'!#REF!</definedName>
    <definedName name="OrignA6">#REF!</definedName>
    <definedName name="OrignA7" localSheetId="2">'UK'!#REF!</definedName>
    <definedName name="OrignA7">#REF!</definedName>
    <definedName name="Orignetas" localSheetId="2">'UK'!#REF!</definedName>
    <definedName name="Orignetas">#REF!</definedName>
    <definedName name="Orignetasc" localSheetId="2">'UK'!#REF!</definedName>
    <definedName name="Orignetasc">#REF!</definedName>
    <definedName name="OrignL" localSheetId="2">'UK'!#REF!</definedName>
    <definedName name="OrignL">#REF!</definedName>
    <definedName name="OrignLati" localSheetId="2">'UK'!#REF!</definedName>
    <definedName name="OrignLati">#REF!</definedName>
    <definedName name="OrignLongi" localSheetId="2">'UK'!#REF!</definedName>
    <definedName name="OrignLongi">#REF!</definedName>
    <definedName name="OrignLsq" localSheetId="2">'UK'!#REF!</definedName>
    <definedName name="OrignLsq">#REF!</definedName>
    <definedName name="OrignM" localSheetId="2">'UK'!#REF!</definedName>
    <definedName name="OrignM">#REF!</definedName>
    <definedName name="Orignnu" localSheetId="2">'UK'!#REF!</definedName>
    <definedName name="Orignnu">#REF!</definedName>
    <definedName name="Orignnu1" localSheetId="2">'UK'!#REF!</definedName>
    <definedName name="Orignnu1">#REF!</definedName>
    <definedName name="Orignnu2" localSheetId="2">'UK'!#REF!</definedName>
    <definedName name="Orignnu2">#REF!</definedName>
    <definedName name="OrignOeastingIndex" localSheetId="2">'UK'!#REF!</definedName>
    <definedName name="OrignOeastingIndex">#REF!</definedName>
    <definedName name="OrignOSNorthingIndex" localSheetId="2">'UK'!#REF!</definedName>
    <definedName name="OrignOSNorthingIndex">#REF!</definedName>
    <definedName name="Orignt" localSheetId="2">'UK'!#REF!</definedName>
    <definedName name="Orignt">#REF!</definedName>
    <definedName name="Origntsq" localSheetId="2">'UK'!#REF!</definedName>
    <definedName name="Origntsq">#REF!</definedName>
    <definedName name="OSEastingOrigin" localSheetId="2">'UK'!$B$28</definedName>
    <definedName name="OSEastingOrigin">#REF!</definedName>
    <definedName name="OSNorthingOrigin" localSheetId="2">'UK'!$B$27</definedName>
    <definedName name="OSNorthingOrigin">#REF!</definedName>
    <definedName name="OutLatDMDDeg">'[1]Conversion'!$I$6</definedName>
    <definedName name="OutLatDMDMins">'[1]Conversion'!$K$6</definedName>
    <definedName name="OutLatDMSDeg">'[1]Conversion'!$I$4</definedName>
    <definedName name="OutLatDmsMins">'[1]Conversion'!$K$4</definedName>
    <definedName name="OutLatDMSMinsDec">'[1]Conversion'!$J$4</definedName>
    <definedName name="OutLatDMSNS">'[1]Conversion'!$M$4</definedName>
    <definedName name="OutLatDMSSecs">'[1]Conversion'!$L$4</definedName>
    <definedName name="OutLongDMDDeg">'[1]Conversion'!$I$14</definedName>
    <definedName name="OutLongDMDMin">'[1]Conversion'!$K$14</definedName>
    <definedName name="OutLongDMSDeg">'[1]Conversion'!$I$12</definedName>
    <definedName name="OutLongDMSEW">'[1]Conversion'!$M$12</definedName>
    <definedName name="OutLongDMSMins">'[1]Conversion'!$K$12</definedName>
    <definedName name="OutLongDMSMinsDec">'[1]Conversion'!$J$12</definedName>
    <definedName name="OutLongDMSSecs">'[1]Conversion'!$L$12</definedName>
    <definedName name="OutUKGrid">'[1]Conversion'!$I$30</definedName>
    <definedName name="OutUKGrid8">'[1]Conversion'!$K$30</definedName>
    <definedName name="OutUKGrid8ErrHand">'[1]Conversion'!$K$31</definedName>
    <definedName name="OutUKGridLat">'[1]Conversion'!$J$30</definedName>
    <definedName name="OutUKGridLong">'[1]Conversion'!$J$33</definedName>
    <definedName name="OutUTMEasting">'[1]Conversion'!$I$23</definedName>
    <definedName name="OutUTMNorthing">'[1]Conversion'!$K$23</definedName>
    <definedName name="OutUTMZone">'[1]Conversion'!$I$20</definedName>
    <definedName name="PA" localSheetId="2">'UK'!$B$23</definedName>
    <definedName name="PA">#REF!</definedName>
    <definedName name="PB" localSheetId="2">'UK'!$B$24</definedName>
    <definedName name="PB">#REF!</definedName>
    <definedName name="PC" localSheetId="2">'UK'!$B$25</definedName>
    <definedName name="PC">#REF!</definedName>
    <definedName name="rad" localSheetId="2">'UK'!$B$14</definedName>
    <definedName name="rad">#REF!</definedName>
    <definedName name="RefernceVisible">'[1]Waypoints'!$AM$2</definedName>
    <definedName name="TMScale" localSheetId="2">'UK'!$B$131</definedName>
    <definedName name="TMScale">#REF!</definedName>
    <definedName name="UKEasting">'[1]Conversion'!$L$30</definedName>
    <definedName name="UKGridFirstSpace">'[1]Conversion'!$H$29</definedName>
    <definedName name="UKGridSecondSpace">'[1]Conversion'!$H$30</definedName>
    <definedName name="UKNorthing">'[1]Conversion'!$M$30</definedName>
    <definedName name="UKPCodeSpace">'[1]Conversion'!$H$33</definedName>
    <definedName name="UKVisable">'[1]Waypoints'!$AJ$2</definedName>
    <definedName name="UnitsMetric">'[1]Waypoints'!$AQ$2</definedName>
    <definedName name="UnitsStatute">'[1]Waypoints'!$AR$2</definedName>
    <definedName name="UTMActive">'[1]Conversion'!$H$20</definedName>
    <definedName name="UTMVisable">'[1]Waypoints'!$AI$2</definedName>
    <definedName name="WaypointVisable">'[1]Waypoints'!$AL$2</definedName>
  </definedNames>
  <calcPr calcMode="manual" fullCalcOnLoad="1"/>
</workbook>
</file>

<file path=xl/comments4.xml><?xml version="1.0" encoding="utf-8"?>
<comments xmlns="http://schemas.openxmlformats.org/spreadsheetml/2006/main">
  <authors>
    <author>A satisfied Microsoft Office user</author>
  </authors>
  <commentList>
    <comment ref="B24" authorId="0">
      <text>
        <r>
          <rPr>
            <sz val="8"/>
            <rFont val="Tahoma"/>
            <family val="0"/>
          </rPr>
          <t>Enter this longitude as + or - 0° to 180°, not 0° to 360°</t>
        </r>
      </text>
    </comment>
  </commentList>
</comments>
</file>

<file path=xl/sharedStrings.xml><?xml version="1.0" encoding="utf-8"?>
<sst xmlns="http://schemas.openxmlformats.org/spreadsheetml/2006/main" count="1076" uniqueCount="335">
  <si>
    <t>Constanten:</t>
  </si>
  <si>
    <t>rd2bessel</t>
  </si>
  <si>
    <t>bessel2wgs84</t>
  </si>
  <si>
    <t>wgs842bessel</t>
  </si>
  <si>
    <t>bessel2rd</t>
  </si>
  <si>
    <t>RD X</t>
  </si>
  <si>
    <t>&gt;&gt;</t>
  </si>
  <si>
    <t>Lat</t>
  </si>
  <si>
    <t>wgs842utm</t>
  </si>
  <si>
    <t>Zone</t>
  </si>
  <si>
    <t>RD Y</t>
  </si>
  <si>
    <t>Long</t>
  </si>
  <si>
    <t>Easting</t>
  </si>
  <si>
    <t>Northing</t>
  </si>
  <si>
    <t>x0</t>
  </si>
  <si>
    <t>d_1</t>
  </si>
  <si>
    <t>dphi</t>
  </si>
  <si>
    <t>phi</t>
  </si>
  <si>
    <t>y0</t>
  </si>
  <si>
    <t>d_2</t>
  </si>
  <si>
    <t>dlam</t>
  </si>
  <si>
    <t>lambda</t>
  </si>
  <si>
    <t>utm2wgs84</t>
  </si>
  <si>
    <t>k</t>
  </si>
  <si>
    <t>r</t>
  </si>
  <si>
    <t>phicor</t>
  </si>
  <si>
    <t>qprime</t>
  </si>
  <si>
    <t>bigr</t>
  </si>
  <si>
    <t>sa</t>
  </si>
  <si>
    <t>lamcor</t>
  </si>
  <si>
    <t>dq</t>
  </si>
  <si>
    <t>m</t>
  </si>
  <si>
    <t>ca</t>
  </si>
  <si>
    <t>phiwgs</t>
  </si>
  <si>
    <t>phibes</t>
  </si>
  <si>
    <t>q</t>
  </si>
  <si>
    <t>n</t>
  </si>
  <si>
    <t>psi</t>
  </si>
  <si>
    <t>lamwgs</t>
  </si>
  <si>
    <t>lambes</t>
  </si>
  <si>
    <t>w</t>
  </si>
  <si>
    <t>pi</t>
  </si>
  <si>
    <t>cpsi</t>
  </si>
  <si>
    <t>b</t>
  </si>
  <si>
    <t>lambda0</t>
  </si>
  <si>
    <t>spsi</t>
  </si>
  <si>
    <t>dl</t>
  </si>
  <si>
    <t>wgs842ukgrid</t>
  </si>
  <si>
    <t>Code</t>
  </si>
  <si>
    <t>phi0</t>
  </si>
  <si>
    <t>sb</t>
  </si>
  <si>
    <t>l0</t>
  </si>
  <si>
    <t>b0</t>
  </si>
  <si>
    <t>cb</t>
  </si>
  <si>
    <t>s2psihalf</t>
  </si>
  <si>
    <t>e</t>
  </si>
  <si>
    <t>cpsihalf</t>
  </si>
  <si>
    <t>ukgrid2wgs84</t>
  </si>
  <si>
    <t>a</t>
  </si>
  <si>
    <t>sdl</t>
  </si>
  <si>
    <t>spsihalf</t>
  </si>
  <si>
    <t>TP</t>
  </si>
  <si>
    <t>tpsihalf</t>
  </si>
  <si>
    <t>phiprime</t>
  </si>
  <si>
    <t>x</t>
  </si>
  <si>
    <t>y</t>
  </si>
  <si>
    <t>Deze berekening werd overgenomen uit de source-code van de software van Ejo Schrama &lt;schrama@geo.tudelft.nl&gt;.</t>
  </si>
  <si>
    <t>De software staat op: http://pocus.geo.tudelft.nl/schrama/Public/gps/rd2wgs/</t>
  </si>
  <si>
    <t>LatLong - to OS</t>
  </si>
  <si>
    <t>WGS84</t>
  </si>
  <si>
    <t>UK Grid</t>
  </si>
  <si>
    <t>OS-LatLong</t>
  </si>
  <si>
    <t>OS Grid Origins</t>
  </si>
  <si>
    <t>LatArrayIndex</t>
  </si>
  <si>
    <t>L</t>
  </si>
  <si>
    <t>E</t>
  </si>
  <si>
    <t>N</t>
  </si>
  <si>
    <t>Latitude</t>
  </si>
  <si>
    <t>Longitude</t>
  </si>
  <si>
    <t>LongArrayIndex</t>
  </si>
  <si>
    <t>OSREF</t>
  </si>
  <si>
    <t>X</t>
  </si>
  <si>
    <t>Y</t>
  </si>
  <si>
    <t>First Space</t>
  </si>
  <si>
    <t>A</t>
  </si>
  <si>
    <t>SecondSpace</t>
  </si>
  <si>
    <t>B</t>
  </si>
  <si>
    <t>REFLETTERS</t>
  </si>
  <si>
    <t>C</t>
  </si>
  <si>
    <t>REFEASTING</t>
  </si>
  <si>
    <t>D</t>
  </si>
  <si>
    <t>RefNorthing</t>
  </si>
  <si>
    <t>RefEasting$</t>
  </si>
  <si>
    <t>F</t>
  </si>
  <si>
    <t>RefNorthing$</t>
  </si>
  <si>
    <t>G</t>
  </si>
  <si>
    <t>H</t>
  </si>
  <si>
    <t>LongArrayOrigin</t>
  </si>
  <si>
    <t>EastingLetter</t>
  </si>
  <si>
    <t>J</t>
  </si>
  <si>
    <t>LatArrayOrigin</t>
  </si>
  <si>
    <t>NorthingLetter</t>
  </si>
  <si>
    <t>K</t>
  </si>
  <si>
    <t>rad</t>
  </si>
  <si>
    <t>eastGridLetterxInd</t>
  </si>
  <si>
    <t>M</t>
  </si>
  <si>
    <t>majsc</t>
  </si>
  <si>
    <t>eastGridLetterYInd</t>
  </si>
  <si>
    <t>minsc</t>
  </si>
  <si>
    <t>O</t>
  </si>
  <si>
    <t>eccsc</t>
  </si>
  <si>
    <t>NorthGridLetterxInd</t>
  </si>
  <si>
    <t>P</t>
  </si>
  <si>
    <t>ecc4</t>
  </si>
  <si>
    <t>NorthGridLetterYInd</t>
  </si>
  <si>
    <t>Q</t>
  </si>
  <si>
    <t>ecc6</t>
  </si>
  <si>
    <t>R</t>
  </si>
  <si>
    <t>ecc2sq</t>
  </si>
  <si>
    <t>S</t>
  </si>
  <si>
    <t>OSEastingIndex</t>
  </si>
  <si>
    <t>T</t>
  </si>
  <si>
    <t>PA</t>
  </si>
  <si>
    <t>OSNorthingIndex</t>
  </si>
  <si>
    <t>U</t>
  </si>
  <si>
    <t>PB</t>
  </si>
  <si>
    <t>V</t>
  </si>
  <si>
    <t>PC</t>
  </si>
  <si>
    <t>W</t>
  </si>
  <si>
    <t>OSNorthingOrigin</t>
  </si>
  <si>
    <t>OSEastingOrigin</t>
  </si>
  <si>
    <t>Z</t>
  </si>
  <si>
    <t>molod_WGS84_f</t>
  </si>
  <si>
    <t>Convert Co-ords to Lat Long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</si>
  <si>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</si>
  <si>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</si>
  <si>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</si>
  <si>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</si>
  <si>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</si>
  <si>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</si>
  <si>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</si>
  <si>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</si>
  <si>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</si>
  <si>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Iteration 10</t>
  </si>
  <si>
    <t>Iteration 11</t>
  </si>
  <si>
    <t>Iteration 12</t>
  </si>
  <si>
    <t>Iteration 13</t>
  </si>
  <si>
    <t>Iteration 14</t>
  </si>
  <si>
    <t>Iteration 15</t>
  </si>
  <si>
    <t>Iteration 16</t>
  </si>
  <si>
    <t>Iteration 17</t>
  </si>
  <si>
    <t>Iteration 18</t>
  </si>
  <si>
    <t>Iteration 19</t>
  </si>
  <si>
    <t>Iteration 20</t>
  </si>
  <si>
    <t>LatitudeSeed</t>
  </si>
  <si>
    <t>Longi</t>
  </si>
  <si>
    <t>LongitudeSeed</t>
  </si>
  <si>
    <t>Lati</t>
  </si>
  <si>
    <t>t</t>
  </si>
  <si>
    <t>Index</t>
  </si>
  <si>
    <t>Split into 20 iterations on right</t>
  </si>
  <si>
    <t>tsq</t>
  </si>
  <si>
    <t>to84</t>
  </si>
  <si>
    <t>da</t>
  </si>
  <si>
    <t>LatitudeArrayIndex</t>
  </si>
  <si>
    <t>Lsq</t>
  </si>
  <si>
    <t>df</t>
  </si>
  <si>
    <t>LongitudeArrayIndex</t>
  </si>
  <si>
    <t>etas</t>
  </si>
  <si>
    <t>dx</t>
  </si>
  <si>
    <t>etasc</t>
  </si>
  <si>
    <t>dy</t>
  </si>
  <si>
    <t>nu1</t>
  </si>
  <si>
    <t>dz</t>
  </si>
  <si>
    <t>nu2</t>
  </si>
  <si>
    <t>nu</t>
  </si>
  <si>
    <t>my_a</t>
  </si>
  <si>
    <t>my_f</t>
  </si>
  <si>
    <t>A7</t>
  </si>
  <si>
    <t>my_es</t>
  </si>
  <si>
    <t>A5</t>
  </si>
  <si>
    <t>my_lat</t>
  </si>
  <si>
    <t>A3</t>
  </si>
  <si>
    <t>my_lon</t>
  </si>
  <si>
    <t>A1</t>
  </si>
  <si>
    <t>OeastingIndex1</t>
  </si>
  <si>
    <t>Slat</t>
  </si>
  <si>
    <t>slon</t>
  </si>
  <si>
    <t>clat</t>
  </si>
  <si>
    <t>clon</t>
  </si>
  <si>
    <t>A2</t>
  </si>
  <si>
    <t>A4</t>
  </si>
  <si>
    <t>Rn</t>
  </si>
  <si>
    <t>A6</t>
  </si>
  <si>
    <t>Rm</t>
  </si>
  <si>
    <t>OSNorthingIndex1</t>
  </si>
  <si>
    <t>d1</t>
  </si>
  <si>
    <t>d2</t>
  </si>
  <si>
    <t>OSeastingIndex</t>
  </si>
  <si>
    <t>d3</t>
  </si>
  <si>
    <t>dlat</t>
  </si>
  <si>
    <t>LatArrayWork</t>
  </si>
  <si>
    <t>LongArrayWork</t>
  </si>
  <si>
    <t>dLon</t>
  </si>
  <si>
    <t>sapceout</t>
  </si>
  <si>
    <t>digits</t>
  </si>
  <si>
    <t>MyOSRef_e1</t>
  </si>
  <si>
    <t>MyOSRef_n1</t>
  </si>
  <si>
    <t>MyOSRef_I</t>
  </si>
  <si>
    <t>MyOSRef_j</t>
  </si>
  <si>
    <t>MyOSRef_L1</t>
  </si>
  <si>
    <t>MyOSRef_e2</t>
  </si>
  <si>
    <t>MyOSRef_n2</t>
  </si>
  <si>
    <t>MyOSRef_i</t>
  </si>
  <si>
    <t>MyOSRef_L2</t>
  </si>
  <si>
    <t>MyOSRef_e3</t>
  </si>
  <si>
    <t>MyOSRef_n3</t>
  </si>
  <si>
    <t>MyOSRef_d</t>
  </si>
  <si>
    <t>MyOSRef_L</t>
  </si>
  <si>
    <t>TMScale</t>
  </si>
  <si>
    <t>MajorAxis</t>
  </si>
  <si>
    <t>MinorAxis</t>
  </si>
  <si>
    <t>Molod_Da</t>
  </si>
  <si>
    <t>Molod_Df</t>
  </si>
  <si>
    <t>Molod_Dx</t>
  </si>
  <si>
    <t>Molod_Dy</t>
  </si>
  <si>
    <t>Molod_Dz</t>
  </si>
  <si>
    <t>molod_WGS84_a</t>
  </si>
  <si>
    <t>Site Name</t>
  </si>
  <si>
    <t>dec deg</t>
  </si>
  <si>
    <t>radians</t>
  </si>
  <si>
    <t>Zone no. (real number)</t>
  </si>
  <si>
    <t>Central Meridian</t>
  </si>
  <si>
    <r>
      <t>Diff longitude (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</si>
  <si>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t>FUNCTIONS</t>
  </si>
  <si>
    <r>
      <t>Sin latitude (sin</t>
    </r>
    <r>
      <rPr>
        <sz val="10"/>
        <rFont val="Symbol"/>
        <family val="1"/>
      </rPr>
      <t>j</t>
    </r>
    <r>
      <rPr>
        <sz val="10"/>
        <rFont val="Arial"/>
        <family val="0"/>
      </rPr>
      <t>)</t>
    </r>
  </si>
  <si>
    <t>A0</t>
  </si>
  <si>
    <r>
      <t>sin(2</t>
    </r>
    <r>
      <rPr>
        <sz val="10"/>
        <rFont val="Symbol"/>
        <family val="1"/>
      </rPr>
      <t>j</t>
    </r>
    <r>
      <rPr>
        <sz val="10"/>
        <rFont val="Arial"/>
        <family val="0"/>
      </rPr>
      <t>)</t>
    </r>
  </si>
  <si>
    <r>
      <t>sin(4</t>
    </r>
    <r>
      <rPr>
        <sz val="10"/>
        <rFont val="Symbol"/>
        <family val="1"/>
      </rPr>
      <t>j</t>
    </r>
    <r>
      <rPr>
        <sz val="10"/>
        <rFont val="Arial"/>
        <family val="0"/>
      </rPr>
      <t>)</t>
    </r>
  </si>
  <si>
    <r>
      <t>sin(6</t>
    </r>
    <r>
      <rPr>
        <sz val="10"/>
        <rFont val="Symbol"/>
        <family val="1"/>
      </rPr>
      <t>j</t>
    </r>
    <r>
      <rPr>
        <sz val="10"/>
        <rFont val="Arial"/>
        <family val="0"/>
      </rPr>
      <t>)</t>
    </r>
  </si>
  <si>
    <t>Meridian Distance</t>
  </si>
  <si>
    <t xml:space="preserve">               Radii of Curvature</t>
  </si>
  <si>
    <t>1st term</t>
  </si>
  <si>
    <r>
      <t>Rho(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</si>
  <si>
    <t>2nd term</t>
  </si>
  <si>
    <r>
      <t>Nu (</t>
    </r>
    <r>
      <rPr>
        <sz val="10"/>
        <rFont val="Symbol"/>
        <family val="1"/>
      </rPr>
      <t>n</t>
    </r>
    <r>
      <rPr>
        <sz val="10"/>
        <rFont val="Arial"/>
        <family val="0"/>
      </rPr>
      <t>)</t>
    </r>
  </si>
  <si>
    <t>3rd term</t>
  </si>
  <si>
    <t>4th term</t>
  </si>
  <si>
    <t>sum (meridian dist)</t>
  </si>
  <si>
    <t>Powers</t>
  </si>
  <si>
    <t>Cos latitude</t>
  </si>
  <si>
    <r>
      <t xml:space="preserve">Diff long </t>
    </r>
    <r>
      <rPr>
        <sz val="10"/>
        <rFont val="Arial"/>
        <family val="0"/>
      </rPr>
      <t>(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</si>
  <si>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t>Tan latitude</t>
  </si>
  <si>
    <t xml:space="preserve">                        Meridian Dist</t>
  </si>
  <si>
    <t>Sum</t>
  </si>
  <si>
    <t>False Origin</t>
  </si>
  <si>
    <t>Grid Convergence</t>
  </si>
  <si>
    <t>Point Scale</t>
  </si>
  <si>
    <t>KEY</t>
  </si>
  <si>
    <t>User input</t>
  </si>
  <si>
    <t>Result</t>
  </si>
  <si>
    <t>Station Name</t>
  </si>
  <si>
    <t>False origin</t>
  </si>
  <si>
    <t>E'</t>
  </si>
  <si>
    <t>N'</t>
  </si>
  <si>
    <t>sigma</t>
  </si>
  <si>
    <t>2 sigma</t>
  </si>
  <si>
    <t>4 sigma</t>
  </si>
  <si>
    <t>6 sigma</t>
  </si>
  <si>
    <t>8 sigma</t>
  </si>
  <si>
    <t>Foot Point latitude</t>
  </si>
  <si>
    <t>deg</t>
  </si>
  <si>
    <t>min</t>
  </si>
  <si>
    <t>sec</t>
  </si>
  <si>
    <t>Radii of curvature</t>
  </si>
  <si>
    <t>Term 1</t>
  </si>
  <si>
    <r>
      <t>Rho' (</t>
    </r>
    <r>
      <rPr>
        <sz val="10"/>
        <rFont val="Symbol"/>
        <family val="1"/>
      </rPr>
      <t>r</t>
    </r>
    <r>
      <rPr>
        <sz val="10"/>
        <rFont val="Arial"/>
        <family val="0"/>
      </rPr>
      <t>')</t>
    </r>
  </si>
  <si>
    <t>Term 2</t>
  </si>
  <si>
    <r>
      <t>Nu' (</t>
    </r>
    <r>
      <rPr>
        <sz val="10"/>
        <rFont val="Symbol"/>
        <family val="1"/>
      </rPr>
      <t>n</t>
    </r>
    <r>
      <rPr>
        <sz val="10"/>
        <rFont val="Arial"/>
        <family val="0"/>
      </rPr>
      <t>')</t>
    </r>
  </si>
  <si>
    <t>Term 3</t>
  </si>
  <si>
    <t>Term 4</t>
  </si>
  <si>
    <t>Term 5</t>
  </si>
  <si>
    <t>Lat'</t>
  </si>
  <si>
    <r>
      <t>sin(</t>
    </r>
    <r>
      <rPr>
        <sz val="10"/>
        <rFont val="Symbol"/>
        <family val="1"/>
      </rPr>
      <t>j</t>
    </r>
    <r>
      <rPr>
        <sz val="10"/>
        <rFont val="Arial"/>
        <family val="0"/>
      </rPr>
      <t>')</t>
    </r>
  </si>
  <si>
    <r>
      <t>sec(</t>
    </r>
    <r>
      <rPr>
        <sz val="10"/>
        <rFont val="Symbol"/>
        <family val="1"/>
      </rPr>
      <t>j</t>
    </r>
    <r>
      <rPr>
        <sz val="10"/>
        <rFont val="Arial"/>
        <family val="0"/>
      </rPr>
      <t>')</t>
    </r>
  </si>
  <si>
    <r>
      <t>t'=tan</t>
    </r>
    <r>
      <rPr>
        <sz val="10"/>
        <rFont val="Symbol"/>
        <family val="1"/>
      </rPr>
      <t>j</t>
    </r>
    <r>
      <rPr>
        <sz val="10"/>
        <rFont val="Arial"/>
        <family val="0"/>
      </rPr>
      <t>'</t>
    </r>
  </si>
  <si>
    <r>
      <t>y</t>
    </r>
    <r>
      <rPr>
        <sz val="10"/>
        <rFont val="Arial"/>
        <family val="0"/>
      </rPr>
      <t>'=</t>
    </r>
    <r>
      <rPr>
        <sz val="10"/>
        <rFont val="Symbol"/>
        <family val="1"/>
      </rPr>
      <t>n</t>
    </r>
    <r>
      <rPr>
        <sz val="10"/>
        <rFont val="Arial"/>
        <family val="0"/>
      </rPr>
      <t>'/</t>
    </r>
    <r>
      <rPr>
        <sz val="10"/>
        <rFont val="Symbol"/>
        <family val="1"/>
      </rPr>
      <t>r</t>
    </r>
    <r>
      <rPr>
        <sz val="10"/>
        <rFont val="Arial"/>
        <family val="0"/>
      </rPr>
      <t>'</t>
    </r>
  </si>
  <si>
    <t>Deg</t>
  </si>
  <si>
    <t>Min</t>
  </si>
  <si>
    <t>Secs</t>
  </si>
  <si>
    <t>Dec Deg</t>
  </si>
  <si>
    <t>Radians</t>
  </si>
  <si>
    <t>Foot point latitude</t>
  </si>
  <si>
    <t>Central meridian</t>
  </si>
  <si>
    <t>sum</t>
  </si>
  <si>
    <r>
      <t>e</t>
    </r>
    <r>
      <rPr>
        <vertAlign val="superscript"/>
        <sz val="10"/>
        <rFont val="Arial"/>
        <family val="2"/>
      </rPr>
      <t>2</t>
    </r>
  </si>
  <si>
    <r>
      <t>e</t>
    </r>
    <r>
      <rPr>
        <vertAlign val="superscript"/>
        <sz val="10"/>
        <rFont val="Arial"/>
        <family val="2"/>
      </rPr>
      <t>4</t>
    </r>
  </si>
  <si>
    <r>
      <t>e</t>
    </r>
    <r>
      <rPr>
        <vertAlign val="superscript"/>
        <sz val="10"/>
        <rFont val="Arial"/>
        <family val="2"/>
      </rPr>
      <t>6</t>
    </r>
  </si>
  <si>
    <r>
      <t xml:space="preserve">Psi </t>
    </r>
    <r>
      <rPr>
        <sz val="10"/>
        <rFont val="Arial"/>
        <family val="0"/>
      </rPr>
      <t>(</t>
    </r>
    <r>
      <rPr>
        <sz val="10"/>
        <rFont val="Symbol"/>
        <family val="1"/>
      </rPr>
      <t>y</t>
    </r>
    <r>
      <rPr>
        <sz val="10"/>
        <rFont val="Arial"/>
        <family val="0"/>
      </rPr>
      <t>)</t>
    </r>
    <r>
      <rPr>
        <b/>
        <sz val="10"/>
        <rFont val="Arial"/>
        <family val="0"/>
      </rPr>
      <t>= Nu/Rho</t>
    </r>
  </si>
  <si>
    <r>
      <t>Sum*K</t>
    </r>
    <r>
      <rPr>
        <vertAlign val="subscript"/>
        <sz val="10"/>
        <rFont val="Arial"/>
        <family val="2"/>
      </rPr>
      <t>0</t>
    </r>
  </si>
  <si>
    <r>
      <t>E'/K</t>
    </r>
    <r>
      <rPr>
        <vertAlign val="subscript"/>
        <sz val="10"/>
        <rFont val="Arial"/>
        <family val="0"/>
      </rPr>
      <t>0</t>
    </r>
  </si>
  <si>
    <r>
      <t>m = N'/K</t>
    </r>
    <r>
      <rPr>
        <vertAlign val="subscript"/>
        <sz val="10"/>
        <rFont val="Arial"/>
        <family val="0"/>
      </rPr>
      <t>0</t>
    </r>
  </si>
  <si>
    <r>
      <t>t'/(k</t>
    </r>
    <r>
      <rPr>
        <vertAlign val="subscript"/>
        <sz val="10"/>
        <rFont val="Arial"/>
        <family val="0"/>
      </rPr>
      <t>0</t>
    </r>
    <r>
      <rPr>
        <sz val="10"/>
        <rFont val="Symbol"/>
        <family val="1"/>
      </rPr>
      <t>n</t>
    </r>
    <r>
      <rPr>
        <sz val="10"/>
        <rFont val="Arial"/>
        <family val="2"/>
      </rPr>
      <t>'</t>
    </r>
    <r>
      <rPr>
        <sz val="10"/>
        <rFont val="Symbol"/>
        <family val="1"/>
      </rPr>
      <t>r</t>
    </r>
    <r>
      <rPr>
        <sz val="10"/>
        <rFont val="Arial"/>
        <family val="0"/>
      </rPr>
      <t>')</t>
    </r>
  </si>
  <si>
    <r>
      <t>x = E'/(k</t>
    </r>
    <r>
      <rPr>
        <vertAlign val="subscript"/>
        <sz val="10"/>
        <rFont val="Arial"/>
        <family val="0"/>
      </rPr>
      <t>0</t>
    </r>
    <r>
      <rPr>
        <sz val="10"/>
        <rFont val="Symbol"/>
        <family val="1"/>
      </rPr>
      <t>n</t>
    </r>
    <r>
      <rPr>
        <sz val="10"/>
        <rFont val="Arial"/>
        <family val="0"/>
      </rPr>
      <t>')</t>
    </r>
  </si>
  <si>
    <r>
      <t>E'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/(k</t>
    </r>
    <r>
      <rPr>
        <vertAlign val="subscript"/>
        <sz val="10"/>
        <rFont val="Arial"/>
        <family val="0"/>
      </rPr>
      <t>0</t>
    </r>
    <r>
      <rPr>
        <vertAlign val="superscript"/>
        <sz val="10"/>
        <rFont val="Arial"/>
        <family val="0"/>
      </rPr>
      <t>2</t>
    </r>
    <r>
      <rPr>
        <sz val="10"/>
        <rFont val="Symbol"/>
        <family val="1"/>
      </rPr>
      <t>n</t>
    </r>
    <r>
      <rPr>
        <sz val="10"/>
        <rFont val="Arial"/>
        <family val="0"/>
      </rPr>
      <t>'</t>
    </r>
    <r>
      <rPr>
        <sz val="10"/>
        <rFont val="Symbol"/>
        <family val="1"/>
      </rPr>
      <t>r</t>
    </r>
    <r>
      <rPr>
        <sz val="10"/>
        <rFont val="Arial"/>
        <family val="0"/>
      </rPr>
      <t>')</t>
    </r>
  </si>
  <si>
    <t>Lon</t>
  </si>
  <si>
    <t>dd.dd</t>
  </si>
  <si>
    <t>dd</t>
  </si>
  <si>
    <t>mm.mm</t>
  </si>
  <si>
    <t>UTM</t>
  </si>
  <si>
    <t>WGS 84</t>
  </si>
  <si>
    <t>RD (Dutch Grid)</t>
  </si>
  <si>
    <t>Ellipsoid definition</t>
  </si>
  <si>
    <t>Semi major axis (a) (m)</t>
  </si>
  <si>
    <t>Flattening (f)</t>
  </si>
  <si>
    <t>Semi-minor axis (b) (m)</t>
  </si>
  <si>
    <t xml:space="preserve"> </t>
  </si>
  <si>
    <t>e'</t>
  </si>
  <si>
    <t>n**2</t>
  </si>
  <si>
    <t>n**3</t>
  </si>
  <si>
    <t>n**4</t>
  </si>
  <si>
    <t>TM definition</t>
  </si>
  <si>
    <t>False easting (m)</t>
  </si>
  <si>
    <t>False northing (m)</t>
  </si>
  <si>
    <t>Zone width (degrees)</t>
  </si>
  <si>
    <t>Longitude of the central meridian of zone 1(degrees)</t>
  </si>
  <si>
    <t>Longitude of western edge of zone zero</t>
  </si>
  <si>
    <t>Central meridian of zone zero</t>
  </si>
  <si>
    <r>
      <t>Inverse flattening (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/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>)</t>
    </r>
  </si>
  <si>
    <r>
      <t>Eccentricity (e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</si>
  <si>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Second eccentricity (e'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</si>
  <si>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Central Scale factor (K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</si>
  <si>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LET OP! DE WGS84 DIENT IN HET VOLGENDE FORMAAT GESCHREVEN TE WORDEN: DEG.DDDDD</t>
  </si>
  <si>
    <t>DUS GRADEN IN DE VORM VAN EEN DECIMAL GETAL (CIJFERS ACHTER DE KOMMA)</t>
  </si>
  <si>
    <t>Kopieer deze in de kolom Lat en Lon. Overschrijf daar de willekeurige voorbeeldcoordinaten die er nu staan.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</si>
</sst>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0.000"/>
    <numFmt numFmtId="177" formatCode="0\°"/>
    <numFmt numFmtId="178" formatCode="0,000,000.000"/>
    <numFmt numFmtId="179" formatCode="0.000\ 000\ 000\ 000"/>
    <numFmt numFmtId="180" formatCode="0.00000"/>
    <numFmt numFmtId="181" formatCode="000,000.000"/>
    <numFmt numFmtId="182" formatCode="0.0000"/>
    <numFmt numFmtId="183" formatCode="000,000.0000"/>
    <numFmt numFmtId="184" formatCode="00,000.000"/>
    <numFmt numFmtId="185" formatCode="0,000.0000"/>
    <numFmt numFmtId="186" formatCode="00\'"/>
    <numFmt numFmtId="187" formatCode="0.00000\&quot;"/>
    <numFmt numFmtId="188" formatCode="00.000\&quot;"/>
    <numFmt numFmtId="189" formatCode="00.00000\&quot;"/>
    <numFmt numFmtId="190" formatCode="0.000\ 000\ 000\°"/>
    <numFmt numFmtId="191" formatCode="00\°"/>
    <numFmt numFmtId="192" formatCode="00.000\ 000\ 000\°"/>
    <numFmt numFmtId="193" formatCode="00.000\ 00\&quot;"/>
    <numFmt numFmtId="194" formatCode="0.000\ 000\ 0000"/>
    <numFmt numFmtId="195" formatCode="000000"/>
    <numFmt numFmtId="196" formatCode="00000"/>
    <numFmt numFmtId="197" formatCode="#,##0.0"/>
    <numFmt numFmtId="198" formatCode="#,##0.000"/>
    <numFmt numFmtId="199" formatCode="#,##0.0000"/>
    <numFmt numFmtId="200" formatCode="#,##0.00000"/>
    <numFmt numFmtId="201" formatCode="#,##0.000000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0.0000000000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ＭＳ Ｐゴシック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0"/>
    </font>
    <font>
      <sz val="14"/>
      <color indexed="10"/>
      <name val="Arial"/>
      <family val="2"/>
    </font>
    <font>
      <sz val="10"/>
      <color indexed="47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0"/>
      <color indexed="16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6"/>
      <name val="Arial"/>
      <family val="2"/>
    </font>
    <font>
      <sz val="14"/>
      <color indexed="8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1" fontId="0" fillId="34" borderId="15" xfId="0" applyNumberFormat="1" applyFill="1" applyBorder="1" applyAlignment="1" applyProtection="1">
      <alignment/>
      <protection locked="0"/>
    </xf>
    <xf numFmtId="0" fontId="0" fillId="35" borderId="15" xfId="0" applyFont="1" applyFill="1" applyBorder="1" applyAlignment="1">
      <alignment/>
    </xf>
    <xf numFmtId="0" fontId="0" fillId="34" borderId="15" xfId="0" applyFont="1" applyFill="1" applyBorder="1" applyAlignment="1" applyProtection="1">
      <alignment/>
      <protection locked="0"/>
    </xf>
    <xf numFmtId="1" fontId="0" fillId="35" borderId="15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 applyProtection="1">
      <alignment/>
      <protection locked="0"/>
    </xf>
    <xf numFmtId="0" fontId="0" fillId="35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1" fontId="0" fillId="0" borderId="14" xfId="0" applyNumberFormat="1" applyFill="1" applyBorder="1" applyAlignment="1">
      <alignment/>
    </xf>
    <xf numFmtId="0" fontId="0" fillId="35" borderId="15" xfId="0" applyFill="1" applyBorder="1" applyAlignment="1" applyProtection="1">
      <alignment/>
      <protection/>
    </xf>
    <xf numFmtId="1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36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0" xfId="0" applyNumberFormat="1" applyAlignment="1">
      <alignment/>
    </xf>
    <xf numFmtId="0" fontId="6" fillId="0" borderId="0" xfId="53" applyFont="1" applyBorder="1" applyProtection="1">
      <alignment/>
      <protection locked="0"/>
    </xf>
    <xf numFmtId="0" fontId="7" fillId="37" borderId="15" xfId="53" applyFont="1" applyFill="1" applyBorder="1" applyAlignment="1" applyProtection="1">
      <alignment horizontal="center"/>
      <protection locked="0"/>
    </xf>
    <xf numFmtId="0" fontId="7" fillId="0" borderId="0" xfId="53" applyFont="1" applyBorder="1" applyProtection="1">
      <alignment/>
      <protection locked="0"/>
    </xf>
    <xf numFmtId="0" fontId="7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7" fillId="0" borderId="0" xfId="53" applyFont="1" applyBorder="1" applyAlignment="1">
      <alignment horizontal="right"/>
      <protection/>
    </xf>
    <xf numFmtId="0" fontId="8" fillId="0" borderId="0" xfId="53" applyFont="1" applyBorder="1">
      <alignment/>
      <protection/>
    </xf>
    <xf numFmtId="0" fontId="7" fillId="37" borderId="15" xfId="53" applyFont="1" applyFill="1" applyBorder="1" applyProtection="1">
      <alignment/>
      <protection locked="0"/>
    </xf>
    <xf numFmtId="180" fontId="8" fillId="34" borderId="15" xfId="53" applyNumberFormat="1" applyFont="1" applyFill="1" applyBorder="1" applyProtection="1">
      <alignment/>
      <protection locked="0"/>
    </xf>
    <xf numFmtId="0" fontId="7" fillId="35" borderId="15" xfId="53" applyFont="1" applyFill="1" applyBorder="1" applyAlignment="1" applyProtection="1">
      <alignment horizontal="center"/>
      <protection locked="0"/>
    </xf>
    <xf numFmtId="196" fontId="7" fillId="35" borderId="15" xfId="53" applyNumberFormat="1" applyFont="1" applyFill="1" applyBorder="1" applyAlignment="1" applyProtection="1">
      <alignment horizontal="center"/>
      <protection locked="0"/>
    </xf>
    <xf numFmtId="0" fontId="7" fillId="37" borderId="15" xfId="53" applyFont="1" applyFill="1" applyBorder="1">
      <alignment/>
      <protection/>
    </xf>
    <xf numFmtId="0" fontId="8" fillId="34" borderId="15" xfId="53" applyFont="1" applyFill="1" applyBorder="1" applyAlignment="1">
      <alignment horizontal="right"/>
      <protection/>
    </xf>
    <xf numFmtId="0" fontId="7" fillId="35" borderId="15" xfId="53" applyFont="1" applyFill="1" applyBorder="1">
      <alignment/>
      <protection/>
    </xf>
    <xf numFmtId="180" fontId="7" fillId="0" borderId="0" xfId="53" applyNumberFormat="1" applyFont="1" applyBorder="1">
      <alignment/>
      <protection/>
    </xf>
    <xf numFmtId="195" fontId="7" fillId="0" borderId="0" xfId="53" applyNumberFormat="1" applyFont="1" applyBorder="1">
      <alignment/>
      <protection/>
    </xf>
    <xf numFmtId="196" fontId="7" fillId="0" borderId="0" xfId="53" applyNumberFormat="1" applyFont="1" applyBorder="1">
      <alignment/>
      <protection/>
    </xf>
    <xf numFmtId="0" fontId="9" fillId="0" borderId="0" xfId="0" applyFont="1" applyBorder="1" applyAlignment="1">
      <alignment/>
    </xf>
    <xf numFmtId="0" fontId="10" fillId="35" borderId="17" xfId="0" applyFont="1" applyFill="1" applyBorder="1" applyAlignment="1">
      <alignment/>
    </xf>
    <xf numFmtId="0" fontId="11" fillId="0" borderId="0" xfId="0" applyFont="1" applyAlignment="1">
      <alignment/>
    </xf>
    <xf numFmtId="0" fontId="10" fillId="38" borderId="1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right"/>
    </xf>
    <xf numFmtId="177" fontId="12" fillId="35" borderId="0" xfId="0" applyNumberFormat="1" applyFont="1" applyFill="1" applyBorder="1" applyAlignment="1">
      <alignment horizontal="right"/>
    </xf>
    <xf numFmtId="186" fontId="12" fillId="35" borderId="0" xfId="0" applyNumberFormat="1" applyFont="1" applyFill="1" applyBorder="1" applyAlignment="1">
      <alignment/>
    </xf>
    <xf numFmtId="189" fontId="12" fillId="35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9" fontId="12" fillId="35" borderId="14" xfId="0" applyNumberFormat="1" applyFont="1" applyFill="1" applyBorder="1" applyAlignment="1">
      <alignment horizontal="left"/>
    </xf>
    <xf numFmtId="179" fontId="0" fillId="0" borderId="0" xfId="0" applyNumberFormat="1" applyAlignment="1">
      <alignment/>
    </xf>
    <xf numFmtId="0" fontId="0" fillId="0" borderId="13" xfId="0" applyBorder="1" applyAlignment="1">
      <alignment/>
    </xf>
    <xf numFmtId="176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0" borderId="14" xfId="0" applyBorder="1" applyAlignment="1">
      <alignment horizontal="left"/>
    </xf>
    <xf numFmtId="177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186" fontId="0" fillId="0" borderId="0" xfId="0" applyNumberFormat="1" applyBorder="1" applyAlignment="1">
      <alignment/>
    </xf>
    <xf numFmtId="187" fontId="0" fillId="0" borderId="14" xfId="0" applyNumberFormat="1" applyBorder="1" applyAlignment="1">
      <alignment horizontal="left"/>
    </xf>
    <xf numFmtId="190" fontId="0" fillId="0" borderId="0" xfId="0" applyNumberFormat="1" applyAlignment="1">
      <alignment/>
    </xf>
    <xf numFmtId="0" fontId="14" fillId="33" borderId="13" xfId="0" applyFont="1" applyFill="1" applyBorder="1" applyAlignment="1">
      <alignment/>
    </xf>
    <xf numFmtId="1" fontId="14" fillId="33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left"/>
    </xf>
    <xf numFmtId="0" fontId="4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179" fontId="0" fillId="0" borderId="0" xfId="0" applyNumberFormat="1" applyBorder="1" applyAlignment="1">
      <alignment horizontal="left"/>
    </xf>
    <xf numFmtId="179" fontId="0" fillId="0" borderId="14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183" fontId="0" fillId="0" borderId="14" xfId="0" applyNumberFormat="1" applyBorder="1" applyAlignment="1">
      <alignment/>
    </xf>
    <xf numFmtId="185" fontId="0" fillId="0" borderId="14" xfId="0" applyNumberFormat="1" applyBorder="1" applyAlignment="1">
      <alignment/>
    </xf>
    <xf numFmtId="0" fontId="0" fillId="0" borderId="0" xfId="0" applyBorder="1" applyAlignment="1">
      <alignment horizontal="left"/>
    </xf>
    <xf numFmtId="182" fontId="0" fillId="0" borderId="14" xfId="0" applyNumberFormat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81" fontId="17" fillId="33" borderId="0" xfId="0" applyNumberFormat="1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181" fontId="17" fillId="33" borderId="14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188" fontId="0" fillId="0" borderId="0" xfId="0" applyNumberFormat="1" applyFill="1" applyAlignment="1">
      <alignment horizontal="left"/>
    </xf>
    <xf numFmtId="179" fontId="0" fillId="0" borderId="14" xfId="0" applyNumberFormat="1" applyFill="1" applyBorder="1" applyAlignment="1">
      <alignment/>
    </xf>
    <xf numFmtId="177" fontId="17" fillId="33" borderId="0" xfId="0" applyNumberFormat="1" applyFont="1" applyFill="1" applyBorder="1" applyAlignment="1">
      <alignment/>
    </xf>
    <xf numFmtId="186" fontId="17" fillId="33" borderId="0" xfId="0" applyNumberFormat="1" applyFont="1" applyFill="1" applyBorder="1" applyAlignment="1">
      <alignment/>
    </xf>
    <xf numFmtId="188" fontId="17" fillId="33" borderId="0" xfId="0" applyNumberFormat="1" applyFont="1" applyFill="1" applyBorder="1" applyAlignment="1">
      <alignment horizontal="left"/>
    </xf>
    <xf numFmtId="0" fontId="17" fillId="33" borderId="14" xfId="0" applyFont="1" applyFill="1" applyBorder="1" applyAlignment="1">
      <alignment/>
    </xf>
    <xf numFmtId="194" fontId="17" fillId="33" borderId="14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5" xfId="0" applyFont="1" applyBorder="1" applyAlignment="1">
      <alignment horizontal="center"/>
    </xf>
    <xf numFmtId="178" fontId="12" fillId="35" borderId="20" xfId="0" applyNumberFormat="1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12" fillId="35" borderId="0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right"/>
    </xf>
    <xf numFmtId="181" fontId="12" fillId="35" borderId="0" xfId="0" applyNumberFormat="1" applyFont="1" applyFill="1" applyBorder="1" applyAlignment="1" applyProtection="1">
      <alignment horizontal="right"/>
      <protection locked="0"/>
    </xf>
    <xf numFmtId="181" fontId="12" fillId="35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19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91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9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90" fontId="0" fillId="0" borderId="0" xfId="0" applyNumberFormat="1" applyBorder="1" applyAlignment="1">
      <alignment/>
    </xf>
    <xf numFmtId="191" fontId="17" fillId="33" borderId="0" xfId="0" applyNumberFormat="1" applyFont="1" applyFill="1" applyBorder="1" applyAlignment="1">
      <alignment/>
    </xf>
    <xf numFmtId="189" fontId="17" fillId="33" borderId="0" xfId="0" applyNumberFormat="1" applyFont="1" applyFill="1" applyBorder="1" applyAlignment="1">
      <alignment horizontal="left"/>
    </xf>
    <xf numFmtId="189" fontId="17" fillId="33" borderId="14" xfId="0" applyNumberFormat="1" applyFont="1" applyFill="1" applyBorder="1" applyAlignment="1">
      <alignment horizontal="left"/>
    </xf>
    <xf numFmtId="194" fontId="17" fillId="33" borderId="14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10" xfId="0" applyFont="1" applyBorder="1" applyAlignment="1">
      <alignment/>
    </xf>
    <xf numFmtId="0" fontId="21" fillId="35" borderId="11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178" fontId="12" fillId="35" borderId="14" xfId="0" applyNumberFormat="1" applyFont="1" applyFill="1" applyBorder="1" applyAlignment="1">
      <alignment/>
    </xf>
    <xf numFmtId="179" fontId="12" fillId="35" borderId="14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178" fontId="22" fillId="0" borderId="14" xfId="0" applyNumberFormat="1" applyFont="1" applyBorder="1" applyAlignment="1">
      <alignment/>
    </xf>
    <xf numFmtId="179" fontId="22" fillId="0" borderId="14" xfId="0" applyNumberFormat="1" applyFont="1" applyBorder="1" applyAlignment="1">
      <alignment/>
    </xf>
    <xf numFmtId="183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177" fontId="12" fillId="35" borderId="14" xfId="0" applyNumberFormat="1" applyFont="1" applyFill="1" applyBorder="1" applyAlignment="1">
      <alignment/>
    </xf>
    <xf numFmtId="0" fontId="0" fillId="0" borderId="16" xfId="0" applyBorder="1" applyAlignment="1">
      <alignment wrapText="1"/>
    </xf>
    <xf numFmtId="177" fontId="12" fillId="35" borderId="18" xfId="0" applyNumberFormat="1" applyFont="1" applyFill="1" applyBorder="1" applyAlignment="1">
      <alignment/>
    </xf>
    <xf numFmtId="0" fontId="0" fillId="0" borderId="0" xfId="0" applyAlignment="1">
      <alignment wrapText="1"/>
    </xf>
    <xf numFmtId="191" fontId="0" fillId="0" borderId="0" xfId="0" applyNumberFormat="1" applyAlignment="1">
      <alignment/>
    </xf>
    <xf numFmtId="178" fontId="12" fillId="35" borderId="21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0" fillId="0" borderId="0" xfId="0" applyNumberFormat="1" applyBorder="1" applyAlignment="1">
      <alignment/>
    </xf>
    <xf numFmtId="206" fontId="0" fillId="0" borderId="0" xfId="0" applyNumberFormat="1" applyAlignment="1">
      <alignment horizontal="center"/>
    </xf>
    <xf numFmtId="206" fontId="0" fillId="0" borderId="0" xfId="0" applyNumberFormat="1" applyAlignment="1">
      <alignment/>
    </xf>
    <xf numFmtId="206" fontId="0" fillId="0" borderId="15" xfId="0" applyNumberForma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Waypoint Workbench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28575</xdr:rowOff>
    </xdr:from>
    <xdr:to>
      <xdr:col>9</xdr:col>
      <xdr:colOff>171450</xdr:colOff>
      <xdr:row>44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52800" y="104775"/>
          <a:ext cx="3752850" cy="5210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Copy &amp; Paste the values required from the table below into the fields to the left, or enter your own values.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 set       Ellipsoid   Semi Major axis    Inverse Flattening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GDA/MGA      GRS80             6378137.0 m           298.257222101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WGS84              WGS84            6378137.0 m           298.257223563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AGD/AMG      ANS                 6378160.0 m            298.25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ANG               CLARKE 1858  6975449.335 yd       294.26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GRS80 is used with GDA94/MGA94.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GRS80 and WGS84 ellipsoids are identical for all practical purposes.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Proceed to the Lat/long-&gt;East/north or East/north-&gt;lat/long worksheet, and enter your coordinates.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the NSW Integrated Survey Grid (ISG)- which is a Transverse Mercator projection, but not a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Transverse Mercator projection - use the ANS ellipsoid with the following parameters: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False Easting      300,000 m    Central Scale factor     0.99994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False Northing   5,000,000 m    Zone width                 2°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Longitude of Central meridian of zone 1                  141°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the Australian National Grid (ANG):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False Easting      400,000 yd         Central Scale factor     1.0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False Northing   4915813.467 yd    Zone width                   5°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Longitude of Central meridian of zone 1                  116°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104775</xdr:rowOff>
    </xdr:from>
    <xdr:to>
      <xdr:col>9</xdr:col>
      <xdr:colOff>333375</xdr:colOff>
      <xdr:row>58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52400" y="1476375"/>
          <a:ext cx="5105400" cy="1819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Enter the appropriate ellipsoid parameters and if neccessary, TM constants, on the "Constant &amp; parameters" worksheet.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Enter the station name in cell C2 (documentation only).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Enter the latitude in cells (C4:E4). Remember that south latitude is negative.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Enter the longitude in cells (I4:K4). Remember that east longitude is positive.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see the intermediate steps, use the Excel "outlining" features: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(i) SHOW the outline symbols, and then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(ii) UNGROUP the hidden rows and columns as required.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49</xdr:row>
      <xdr:rowOff>66675</xdr:rowOff>
    </xdr:from>
    <xdr:to>
      <xdr:col>13</xdr:col>
      <xdr:colOff>85725</xdr:colOff>
      <xdr:row>61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52400" y="1285875"/>
          <a:ext cx="5324475" cy="19621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(1)Enter the appropriate ellipsoid parameters and, if necessary, the TM constants on the "Constant &amp; parameters" worksheet.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Enter the station name in cell C3 (documentation only).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Enter the zone number in cell E3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Enter the easting in cell E4.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  Enter the northing in cell O4.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see the intermediate steps, use the Excel "outlining" features: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(i) SHOW the outline symbols, and then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(ii) UNGROUP the hidden rows and columns as required.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KM%20hokken%20vs%20atlasblokken\Bert\GeoCache\WPWorkbench\Waypoint%20Workben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sInput"/>
      <sheetName val="Conversion"/>
      <sheetName val="Waypoints"/>
      <sheetName val="FAQs"/>
      <sheetName val="UK"/>
      <sheetName val="Consts"/>
      <sheetName val="LLtoUTM"/>
      <sheetName val="Results"/>
      <sheetName val="UTMtoLL"/>
    </sheetNames>
    <sheetDataSet>
      <sheetData sheetId="1">
        <row r="4">
          <cell r="H4" t="b">
            <v>0</v>
          </cell>
          <cell r="I4">
            <v>52</v>
          </cell>
          <cell r="J4">
            <v>0.022</v>
          </cell>
          <cell r="K4">
            <v>0</v>
          </cell>
          <cell r="L4">
            <v>1.3199999999999998</v>
          </cell>
          <cell r="M4" t="str">
            <v>North</v>
          </cell>
        </row>
        <row r="6">
          <cell r="C6">
            <v>52</v>
          </cell>
          <cell r="D6">
            <v>0.022</v>
          </cell>
          <cell r="H6" t="b">
            <v>1</v>
          </cell>
          <cell r="I6">
            <v>52</v>
          </cell>
          <cell r="J6" t="b">
            <v>0</v>
          </cell>
          <cell r="K6">
            <v>0.022</v>
          </cell>
        </row>
        <row r="8">
          <cell r="H8" t="b">
            <v>0</v>
          </cell>
          <cell r="I8">
            <v>52.0003666666667</v>
          </cell>
        </row>
        <row r="12">
          <cell r="H12" t="b">
            <v>0</v>
          </cell>
          <cell r="I12">
            <v>5</v>
          </cell>
          <cell r="J12">
            <v>55.169</v>
          </cell>
          <cell r="K12">
            <v>55</v>
          </cell>
          <cell r="L12">
            <v>10.139999999999816</v>
          </cell>
          <cell r="M12" t="str">
            <v>East</v>
          </cell>
        </row>
        <row r="14">
          <cell r="C14">
            <v>5</v>
          </cell>
          <cell r="D14">
            <v>55.169</v>
          </cell>
          <cell r="H14" t="b">
            <v>1</v>
          </cell>
          <cell r="I14">
            <v>5</v>
          </cell>
          <cell r="J14" t="b">
            <v>0</v>
          </cell>
          <cell r="K14">
            <v>55.169</v>
          </cell>
        </row>
        <row r="16">
          <cell r="H16" t="b">
            <v>0</v>
          </cell>
          <cell r="I16">
            <v>5.91948333333333</v>
          </cell>
        </row>
        <row r="18">
          <cell r="J18" t="b">
            <v>0</v>
          </cell>
        </row>
        <row r="19">
          <cell r="J19" t="b">
            <v>0</v>
          </cell>
        </row>
        <row r="20">
          <cell r="H20" t="b">
            <v>0</v>
          </cell>
          <cell r="I20">
            <v>31</v>
          </cell>
        </row>
        <row r="23">
          <cell r="I23">
            <v>700401.5498330973</v>
          </cell>
          <cell r="K23">
            <v>5765103.890300265</v>
          </cell>
        </row>
        <row r="28">
          <cell r="H28" t="b">
            <v>0</v>
          </cell>
        </row>
        <row r="29">
          <cell r="H29" t="e">
            <v>#VALUE!</v>
          </cell>
        </row>
        <row r="30">
          <cell r="H30" t="e">
            <v>#VALUE!</v>
          </cell>
          <cell r="I30" t="str">
            <v>TP433632</v>
          </cell>
          <cell r="J30" t="e">
            <v>#VALUE!</v>
          </cell>
          <cell r="K30" t="str">
            <v>TP 43352 63219</v>
          </cell>
          <cell r="L30">
            <v>943352</v>
          </cell>
          <cell r="M30">
            <v>263219</v>
          </cell>
        </row>
        <row r="31">
          <cell r="K31" t="str">
            <v>TP 43352 63219</v>
          </cell>
        </row>
        <row r="32">
          <cell r="H32" t="b">
            <v>0</v>
          </cell>
        </row>
        <row r="33">
          <cell r="H33" t="e">
            <v>#VALUE!</v>
          </cell>
          <cell r="J33" t="e">
            <v>#VALUE!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</sheetData>
      <sheetData sheetId="2">
        <row r="2">
          <cell r="AA2" t="str">
            <v>London Pilgramage 4</v>
          </cell>
          <cell r="AB2" t="str">
            <v>C:\Documents and Settings\Administrator\Desktop\EasyGPS.exe</v>
          </cell>
          <cell r="AC2" t="str">
            <v>c:\test.wpt</v>
          </cell>
          <cell r="AD2" t="b">
            <v>1</v>
          </cell>
          <cell r="AE2" t="str">
            <v>PCX5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str">
            <v>HTML</v>
          </cell>
          <cell r="AP2" t="str">
            <v>D:\Bert\GeoCache\CacheMaps\html\Cache (GC79B8).htm</v>
          </cell>
          <cell r="AQ2" t="b">
            <v>1</v>
          </cell>
          <cell r="AR2" t="b">
            <v>0</v>
          </cell>
        </row>
      </sheetData>
      <sheetData sheetId="3">
        <row r="3">
          <cell r="C3" t="str">
            <v>FAQs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3.7109375" style="0" bestFit="1" customWidth="1"/>
    <col min="2" max="2" width="12.57421875" style="0" bestFit="1" customWidth="1"/>
    <col min="3" max="6" width="11.00390625" style="0" hidden="1" customWidth="1"/>
    <col min="7" max="8" width="11.00390625" style="0" customWidth="1"/>
    <col min="9" max="11" width="11.00390625" style="0" hidden="1" customWidth="1"/>
    <col min="12" max="12" width="13.28125" style="0" customWidth="1"/>
    <col min="14" max="14" width="12.421875" style="0" customWidth="1"/>
    <col min="15" max="15" width="19.8515625" style="181" bestFit="1" customWidth="1"/>
    <col min="16" max="16" width="18.8515625" style="181" bestFit="1" customWidth="1"/>
  </cols>
  <sheetData>
    <row r="1" spans="12:24" ht="36.75" customHeight="1" thickBot="1">
      <c r="L1" s="177" t="s">
        <v>332</v>
      </c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2.75">
      <c r="A2" s="186" t="s">
        <v>310</v>
      </c>
      <c r="B2" s="187"/>
      <c r="C2" s="186" t="s">
        <v>310</v>
      </c>
      <c r="D2" s="184"/>
      <c r="E2" s="184"/>
      <c r="F2" s="187"/>
      <c r="G2" s="186" t="s">
        <v>311</v>
      </c>
      <c r="H2" s="185"/>
      <c r="I2" s="183" t="s">
        <v>309</v>
      </c>
      <c r="J2" s="184"/>
      <c r="K2" s="185"/>
      <c r="L2" s="177" t="s">
        <v>333</v>
      </c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16" s="148" customFormat="1" ht="13.5" thickBot="1">
      <c r="A3" s="157" t="s">
        <v>7</v>
      </c>
      <c r="B3" s="158" t="s">
        <v>305</v>
      </c>
      <c r="C3" s="188" t="s">
        <v>7</v>
      </c>
      <c r="D3" s="189"/>
      <c r="E3" s="189" t="s">
        <v>305</v>
      </c>
      <c r="F3" s="190"/>
      <c r="G3" s="154" t="s">
        <v>81</v>
      </c>
      <c r="H3" s="156" t="s">
        <v>82</v>
      </c>
      <c r="I3" s="160" t="s">
        <v>9</v>
      </c>
      <c r="J3" s="155" t="s">
        <v>12</v>
      </c>
      <c r="K3" s="156" t="s">
        <v>13</v>
      </c>
      <c r="L3" s="177" t="s">
        <v>334</v>
      </c>
      <c r="O3" s="180"/>
      <c r="P3" s="180"/>
    </row>
    <row r="4" spans="1:16" s="148" customFormat="1" ht="13.5" thickBot="1">
      <c r="A4" s="154" t="s">
        <v>306</v>
      </c>
      <c r="B4" s="159" t="s">
        <v>306</v>
      </c>
      <c r="C4" s="154" t="s">
        <v>307</v>
      </c>
      <c r="D4" s="155" t="s">
        <v>308</v>
      </c>
      <c r="E4" s="155" t="s">
        <v>307</v>
      </c>
      <c r="F4" s="156" t="s">
        <v>308</v>
      </c>
      <c r="N4" s="181"/>
      <c r="O4" s="180"/>
      <c r="P4" s="180"/>
    </row>
    <row r="5" spans="1:14" ht="12.75">
      <c r="A5" s="182">
        <v>52.469397</v>
      </c>
      <c r="B5" s="182">
        <v>5.509644</v>
      </c>
      <c r="C5">
        <v>52</v>
      </c>
      <c r="D5">
        <v>28.16382</v>
      </c>
      <c r="E5">
        <v>5</v>
      </c>
      <c r="F5">
        <v>30.57864</v>
      </c>
      <c r="G5">
        <v>163320</v>
      </c>
      <c r="H5">
        <v>497969</v>
      </c>
      <c r="I5">
        <v>31</v>
      </c>
      <c r="J5">
        <v>670466.5852506874</v>
      </c>
      <c r="K5">
        <v>15816209.45269623</v>
      </c>
      <c r="N5" s="181"/>
    </row>
    <row r="6" spans="1:14" ht="12.75">
      <c r="A6" s="182">
        <v>51.742113</v>
      </c>
      <c r="B6" s="182">
        <v>5.463925</v>
      </c>
      <c r="C6">
        <v>51</v>
      </c>
      <c r="D6">
        <v>44.52678</v>
      </c>
      <c r="E6">
        <v>5</v>
      </c>
      <c r="F6">
        <v>27.8355</v>
      </c>
      <c r="G6">
        <v>160299</v>
      </c>
      <c r="H6">
        <v>417047</v>
      </c>
      <c r="I6">
        <v>31</v>
      </c>
      <c r="J6">
        <v>670107.8572082932</v>
      </c>
      <c r="K6">
        <v>15735228.787638292</v>
      </c>
      <c r="N6" s="181"/>
    </row>
    <row r="7" spans="1:19" ht="12.75">
      <c r="A7" s="182">
        <v>51.70142</v>
      </c>
      <c r="B7" s="182">
        <v>5.463917</v>
      </c>
      <c r="C7">
        <v>51</v>
      </c>
      <c r="D7">
        <v>42.0851999</v>
      </c>
      <c r="E7">
        <v>5</v>
      </c>
      <c r="F7">
        <v>27.83502</v>
      </c>
      <c r="G7">
        <v>160303</v>
      </c>
      <c r="H7">
        <v>412520</v>
      </c>
      <c r="I7">
        <v>31</v>
      </c>
      <c r="J7">
        <v>670260.1488735891</v>
      </c>
      <c r="K7">
        <v>15730703.96377058</v>
      </c>
      <c r="N7" s="181"/>
      <c r="R7" s="179"/>
      <c r="S7" s="64"/>
    </row>
    <row r="8" spans="1:19" ht="12.75">
      <c r="A8" s="182">
        <v>51.760748</v>
      </c>
      <c r="B8" s="182">
        <v>5.581291</v>
      </c>
      <c r="C8">
        <v>51</v>
      </c>
      <c r="D8">
        <v>45.64488</v>
      </c>
      <c r="E8">
        <v>5</v>
      </c>
      <c r="F8">
        <v>34.87746</v>
      </c>
      <c r="G8">
        <v>168400</v>
      </c>
      <c r="H8">
        <v>419135</v>
      </c>
      <c r="I8">
        <v>31</v>
      </c>
      <c r="J8">
        <v>678136.1249552162</v>
      </c>
      <c r="K8">
        <v>15737581.118694551</v>
      </c>
      <c r="R8" s="179"/>
      <c r="S8" s="64"/>
    </row>
    <row r="9" spans="1:19" ht="12.75">
      <c r="A9" s="182">
        <v>51.760749</v>
      </c>
      <c r="B9" s="182">
        <v>5.58129</v>
      </c>
      <c r="C9">
        <v>51</v>
      </c>
      <c r="D9">
        <v>45.6449399</v>
      </c>
      <c r="E9">
        <v>5</v>
      </c>
      <c r="F9">
        <v>34.8774</v>
      </c>
      <c r="G9">
        <v>168399</v>
      </c>
      <c r="H9">
        <v>419135</v>
      </c>
      <c r="I9">
        <v>31</v>
      </c>
      <c r="J9">
        <v>678136.0520184027</v>
      </c>
      <c r="K9">
        <v>15737581.227443278</v>
      </c>
      <c r="R9" s="179"/>
      <c r="S9" s="64"/>
    </row>
    <row r="10" spans="1:19" ht="12.75">
      <c r="A10" s="182">
        <v>51.760749</v>
      </c>
      <c r="B10" s="182">
        <v>5.58129</v>
      </c>
      <c r="C10">
        <v>51</v>
      </c>
      <c r="D10">
        <v>45.6449399</v>
      </c>
      <c r="E10">
        <v>5</v>
      </c>
      <c r="F10">
        <v>34.8774</v>
      </c>
      <c r="G10">
        <v>168399</v>
      </c>
      <c r="H10">
        <v>419135</v>
      </c>
      <c r="I10">
        <v>31</v>
      </c>
      <c r="J10">
        <v>678136.0520184027</v>
      </c>
      <c r="K10">
        <v>15737581.227443278</v>
      </c>
      <c r="Q10" s="181"/>
      <c r="R10" s="179"/>
      <c r="S10" s="64"/>
    </row>
    <row r="11" spans="1:19" ht="12.75">
      <c r="A11" s="182">
        <v>51.695336</v>
      </c>
      <c r="B11" s="182">
        <v>5.581217</v>
      </c>
      <c r="C11">
        <v>51</v>
      </c>
      <c r="D11">
        <v>41.7201599</v>
      </c>
      <c r="E11">
        <v>5</v>
      </c>
      <c r="F11">
        <v>34.87302</v>
      </c>
      <c r="G11">
        <v>168414</v>
      </c>
      <c r="H11">
        <v>411858</v>
      </c>
      <c r="I11">
        <v>31</v>
      </c>
      <c r="J11">
        <v>678388.4371934854</v>
      </c>
      <c r="K11">
        <v>15730307.681870798</v>
      </c>
      <c r="Q11" s="181"/>
      <c r="R11" s="179"/>
      <c r="S11" s="64"/>
    </row>
    <row r="12" spans="1:19" ht="12.75">
      <c r="A12" s="182">
        <v>51.779035</v>
      </c>
      <c r="B12" s="182">
        <v>5.545267</v>
      </c>
      <c r="C12">
        <v>51</v>
      </c>
      <c r="D12">
        <v>46.7421</v>
      </c>
      <c r="E12">
        <v>5</v>
      </c>
      <c r="F12">
        <v>32.71602</v>
      </c>
      <c r="G12">
        <v>165908</v>
      </c>
      <c r="H12">
        <v>421164</v>
      </c>
      <c r="I12">
        <v>31</v>
      </c>
      <c r="J12">
        <v>675579.4724117181</v>
      </c>
      <c r="K12">
        <v>15739527.101678364</v>
      </c>
      <c r="Q12" s="181"/>
      <c r="R12" s="179"/>
      <c r="S12" s="64"/>
    </row>
    <row r="13" spans="1:19" ht="12.75">
      <c r="A13" s="182">
        <v>51.678689</v>
      </c>
      <c r="B13" s="182">
        <v>5.407677</v>
      </c>
      <c r="C13">
        <v>51</v>
      </c>
      <c r="D13">
        <v>40.7213399</v>
      </c>
      <c r="E13">
        <v>5</v>
      </c>
      <c r="F13">
        <v>24.46062</v>
      </c>
      <c r="G13">
        <v>156416</v>
      </c>
      <c r="H13">
        <v>409988</v>
      </c>
      <c r="I13">
        <v>31</v>
      </c>
      <c r="J13">
        <v>666457.8118896778</v>
      </c>
      <c r="K13">
        <v>15728046.686312268</v>
      </c>
      <c r="N13" s="178"/>
      <c r="Q13" s="181"/>
      <c r="R13" s="179"/>
      <c r="S13" s="64"/>
    </row>
    <row r="14" spans="1:19" ht="12.75">
      <c r="A14" s="182">
        <v>51.699122</v>
      </c>
      <c r="B14" s="182">
        <v>5.338519</v>
      </c>
      <c r="C14">
        <v>51</v>
      </c>
      <c r="D14">
        <v>41.94732</v>
      </c>
      <c r="E14">
        <v>5</v>
      </c>
      <c r="F14">
        <v>20.31114</v>
      </c>
      <c r="G14">
        <v>151634</v>
      </c>
      <c r="H14">
        <v>412262</v>
      </c>
      <c r="I14">
        <v>31</v>
      </c>
      <c r="J14">
        <v>661604.3021801729</v>
      </c>
      <c r="K14">
        <v>15730163.308631975</v>
      </c>
      <c r="N14" s="178"/>
      <c r="Q14" s="181"/>
      <c r="R14" s="179"/>
      <c r="S14" s="64"/>
    </row>
    <row r="15" spans="1:19" ht="12.75">
      <c r="A15" s="182">
        <v>51.714033</v>
      </c>
      <c r="B15" s="182">
        <v>5.356185</v>
      </c>
      <c r="C15">
        <v>51</v>
      </c>
      <c r="D15">
        <v>42.84198</v>
      </c>
      <c r="E15">
        <v>5</v>
      </c>
      <c r="F15">
        <v>21.3711</v>
      </c>
      <c r="G15">
        <v>152856</v>
      </c>
      <c r="H15">
        <v>413921</v>
      </c>
      <c r="I15">
        <v>31</v>
      </c>
      <c r="J15">
        <v>662771.4155954244</v>
      </c>
      <c r="K15">
        <v>15731860.612340756</v>
      </c>
      <c r="N15" s="178"/>
      <c r="Q15" s="181"/>
      <c r="R15" s="179"/>
      <c r="S15" s="64"/>
    </row>
    <row r="16" spans="1:19" ht="12.75">
      <c r="A16" s="182">
        <v>51.76385</v>
      </c>
      <c r="B16" s="182">
        <v>5.494147</v>
      </c>
      <c r="C16">
        <v>51</v>
      </c>
      <c r="D16">
        <v>45.8309999</v>
      </c>
      <c r="E16">
        <v>5</v>
      </c>
      <c r="F16">
        <v>29.64882</v>
      </c>
      <c r="G16">
        <v>162383</v>
      </c>
      <c r="H16">
        <v>419468</v>
      </c>
      <c r="I16">
        <v>31</v>
      </c>
      <c r="J16">
        <v>672111.3773190033</v>
      </c>
      <c r="K16">
        <v>15737716.72564561</v>
      </c>
      <c r="N16" s="178"/>
      <c r="Q16" s="181"/>
      <c r="R16" s="179"/>
      <c r="S16" s="64"/>
    </row>
    <row r="17" spans="1:19" ht="12.75">
      <c r="A17" s="182"/>
      <c r="B17" s="182"/>
      <c r="I17">
        <v>39</v>
      </c>
      <c r="J17">
        <v>584611.9744010832</v>
      </c>
      <c r="K17">
        <v>10607340.981163437</v>
      </c>
      <c r="N17" s="178"/>
      <c r="Q17" s="181"/>
      <c r="R17" s="179"/>
      <c r="S17" s="64"/>
    </row>
    <row r="18" spans="1:19" ht="12.75">
      <c r="A18" s="64"/>
      <c r="B18" s="179"/>
      <c r="I18">
        <v>31</v>
      </c>
      <c r="J18">
        <v>588791.2812687209</v>
      </c>
      <c r="K18">
        <v>15697355.774133548</v>
      </c>
      <c r="N18" s="178"/>
      <c r="Q18" s="181"/>
      <c r="R18" s="179"/>
      <c r="S18" s="64"/>
    </row>
    <row r="19" spans="1:19" ht="12.75">
      <c r="A19" s="64"/>
      <c r="B19" s="179"/>
      <c r="I19">
        <v>31</v>
      </c>
      <c r="J19">
        <v>600550.4478566891</v>
      </c>
      <c r="K19">
        <v>15709605.778199226</v>
      </c>
      <c r="N19" s="178"/>
      <c r="Q19" s="181"/>
      <c r="R19" s="179"/>
      <c r="S19" s="64"/>
    </row>
    <row r="20" spans="1:19" ht="12.75">
      <c r="A20" s="64"/>
      <c r="B20" s="179"/>
      <c r="I20">
        <v>31</v>
      </c>
      <c r="J20">
        <v>600431.584977129</v>
      </c>
      <c r="K20">
        <v>15711964.142261103</v>
      </c>
      <c r="N20" s="178"/>
      <c r="Q20" s="181"/>
      <c r="R20" s="179"/>
      <c r="S20" s="64"/>
    </row>
    <row r="21" spans="1:19" ht="12.75">
      <c r="A21" s="64"/>
      <c r="B21" s="179"/>
      <c r="I21">
        <v>31</v>
      </c>
      <c r="J21">
        <v>607124.1158344314</v>
      </c>
      <c r="K21">
        <v>15712267.974430084</v>
      </c>
      <c r="N21" s="178"/>
      <c r="Q21" s="181"/>
      <c r="R21" s="179"/>
      <c r="S21" s="64"/>
    </row>
    <row r="22" spans="1:19" ht="12.75">
      <c r="A22" s="64"/>
      <c r="B22" s="179"/>
      <c r="I22">
        <v>31</v>
      </c>
      <c r="J22">
        <v>600826.1289450745</v>
      </c>
      <c r="K22">
        <v>15709491.097634166</v>
      </c>
      <c r="N22" s="178"/>
      <c r="Q22" s="181"/>
      <c r="R22" s="179"/>
      <c r="S22" s="64"/>
    </row>
    <row r="23" spans="1:19" ht="12.75">
      <c r="A23" s="64"/>
      <c r="B23" s="179"/>
      <c r="I23">
        <v>31</v>
      </c>
      <c r="J23">
        <v>600816.7048729507</v>
      </c>
      <c r="K23">
        <v>15709476.447976273</v>
      </c>
      <c r="Q23" s="181"/>
      <c r="R23" s="179"/>
      <c r="S23" s="64"/>
    </row>
    <row r="24" spans="1:19" ht="12.75">
      <c r="A24" s="64"/>
      <c r="B24" s="179"/>
      <c r="I24">
        <v>31</v>
      </c>
      <c r="J24">
        <v>601669.6625921333</v>
      </c>
      <c r="K24">
        <v>15709263.173919726</v>
      </c>
      <c r="Q24" s="181"/>
      <c r="R24" s="179"/>
      <c r="S24" s="64"/>
    </row>
    <row r="25" spans="1:19" ht="12.75">
      <c r="A25" s="64"/>
      <c r="B25" s="179"/>
      <c r="I25">
        <v>31</v>
      </c>
      <c r="J25">
        <v>601670.6681226835</v>
      </c>
      <c r="K25">
        <v>15709247.6190264</v>
      </c>
      <c r="Q25" s="181"/>
      <c r="R25" s="179"/>
      <c r="S25" s="64"/>
    </row>
    <row r="26" spans="1:19" ht="12.75">
      <c r="A26" s="64"/>
      <c r="B26" s="179"/>
      <c r="I26">
        <v>31</v>
      </c>
      <c r="J26">
        <v>602892.9437935065</v>
      </c>
      <c r="K26">
        <v>15710504.911807433</v>
      </c>
      <c r="R26" s="179"/>
      <c r="S26" s="64"/>
    </row>
    <row r="27" spans="1:19" ht="12.75">
      <c r="A27" s="64"/>
      <c r="B27" s="179"/>
      <c r="I27">
        <v>31</v>
      </c>
      <c r="J27">
        <v>602907.6205695862</v>
      </c>
      <c r="K27">
        <v>15710499.646886315</v>
      </c>
      <c r="R27" s="179"/>
      <c r="S27" s="64"/>
    </row>
    <row r="28" spans="1:19" ht="12.75">
      <c r="A28" s="64"/>
      <c r="B28" s="179"/>
      <c r="I28">
        <v>31</v>
      </c>
      <c r="J28">
        <v>626375.3840309759</v>
      </c>
      <c r="K28">
        <v>15716148.372343387</v>
      </c>
      <c r="R28" s="179"/>
      <c r="S28" s="64"/>
    </row>
    <row r="29" spans="1:19" ht="12.75">
      <c r="A29" s="64"/>
      <c r="B29" s="179"/>
      <c r="I29">
        <v>31</v>
      </c>
      <c r="J29">
        <v>631317.1569825476</v>
      </c>
      <c r="K29">
        <v>15713542.271522505</v>
      </c>
      <c r="R29" s="179"/>
      <c r="S29" s="64"/>
    </row>
    <row r="30" spans="1:19" ht="12.75">
      <c r="A30" s="64"/>
      <c r="B30" s="179"/>
      <c r="I30">
        <v>31</v>
      </c>
      <c r="J30">
        <v>646896.0603083711</v>
      </c>
      <c r="K30">
        <v>15712740.037033347</v>
      </c>
      <c r="R30" s="179"/>
      <c r="S30" s="64"/>
    </row>
    <row r="31" spans="1:19" ht="12.75">
      <c r="A31" s="64"/>
      <c r="B31" s="179"/>
      <c r="I31">
        <v>31</v>
      </c>
      <c r="J31">
        <v>648692.2237602047</v>
      </c>
      <c r="K31">
        <v>15716062.164753284</v>
      </c>
      <c r="R31" s="179"/>
      <c r="S31" s="64"/>
    </row>
    <row r="32" spans="1:19" ht="12.75">
      <c r="A32" s="64"/>
      <c r="B32" s="179"/>
      <c r="I32">
        <v>31</v>
      </c>
      <c r="J32">
        <v>648705.4534303106</v>
      </c>
      <c r="K32">
        <v>15716060.327265903</v>
      </c>
      <c r="R32" s="179"/>
      <c r="S32" s="64"/>
    </row>
    <row r="33" spans="1:19" ht="12.75">
      <c r="A33" s="64"/>
      <c r="B33" s="179"/>
      <c r="I33">
        <v>31</v>
      </c>
      <c r="J33">
        <v>642042.3002504928</v>
      </c>
      <c r="K33">
        <v>15711803.836549647</v>
      </c>
      <c r="R33" s="179"/>
      <c r="S33" s="64"/>
    </row>
    <row r="34" spans="1:19" ht="12.75">
      <c r="A34" s="64"/>
      <c r="B34" s="179"/>
      <c r="I34">
        <v>31</v>
      </c>
      <c r="J34">
        <v>642021.4040001099</v>
      </c>
      <c r="K34">
        <v>15711806.589971941</v>
      </c>
      <c r="R34" s="179"/>
      <c r="S34" s="64"/>
    </row>
    <row r="35" spans="1:19" ht="12.75">
      <c r="A35" s="64"/>
      <c r="B35" s="179"/>
      <c r="I35">
        <v>31</v>
      </c>
      <c r="J35">
        <v>641017.6244756298</v>
      </c>
      <c r="K35">
        <v>15711817.53317707</v>
      </c>
      <c r="R35" s="179"/>
      <c r="S35" s="64"/>
    </row>
    <row r="36" spans="1:19" ht="12.75">
      <c r="A36" s="64"/>
      <c r="B36" s="179"/>
      <c r="I36">
        <v>31</v>
      </c>
      <c r="J36">
        <v>644504.3960459064</v>
      </c>
      <c r="K36">
        <v>15711492.779169112</v>
      </c>
      <c r="R36" s="179"/>
      <c r="S36" s="64"/>
    </row>
    <row r="37" spans="1:19" ht="12.75">
      <c r="A37" s="64"/>
      <c r="B37" s="179"/>
      <c r="I37">
        <v>31</v>
      </c>
      <c r="J37">
        <v>648955.3232906368</v>
      </c>
      <c r="K37">
        <v>15712795.659280697</v>
      </c>
      <c r="R37" s="179"/>
      <c r="S37" s="64"/>
    </row>
    <row r="38" spans="1:19" ht="12.75">
      <c r="A38" s="64"/>
      <c r="B38" s="179"/>
      <c r="I38">
        <v>31</v>
      </c>
      <c r="J38">
        <v>659457.2723390508</v>
      </c>
      <c r="K38">
        <v>15707928.310416343</v>
      </c>
      <c r="R38" s="179"/>
      <c r="S38" s="64"/>
    </row>
    <row r="39" spans="1:19" ht="12.75">
      <c r="A39" s="64"/>
      <c r="B39" s="179"/>
      <c r="I39">
        <v>31</v>
      </c>
      <c r="J39">
        <v>656350.9448894102</v>
      </c>
      <c r="K39">
        <v>15709454.480634375</v>
      </c>
      <c r="R39" s="179"/>
      <c r="S39" s="64"/>
    </row>
    <row r="40" spans="1:19" ht="12.75">
      <c r="A40" s="64"/>
      <c r="B40" s="179"/>
      <c r="I40">
        <v>31</v>
      </c>
      <c r="J40">
        <v>657743.9105271491</v>
      </c>
      <c r="K40">
        <v>15708831.994762905</v>
      </c>
      <c r="R40" s="179"/>
      <c r="S40" s="64"/>
    </row>
    <row r="41" spans="1:19" ht="12.75">
      <c r="A41" s="64"/>
      <c r="B41" s="179"/>
      <c r="I41">
        <v>31</v>
      </c>
      <c r="J41">
        <v>665966.2348525489</v>
      </c>
      <c r="K41">
        <v>15706521.736770991</v>
      </c>
      <c r="R41" s="179"/>
      <c r="S41" s="64"/>
    </row>
    <row r="42" spans="1:19" ht="12.75">
      <c r="A42" s="64"/>
      <c r="B42" s="179"/>
      <c r="I42">
        <v>31</v>
      </c>
      <c r="J42">
        <v>666120.7065652763</v>
      </c>
      <c r="K42">
        <v>15706473.355759218</v>
      </c>
      <c r="R42" s="179"/>
      <c r="S42" s="64"/>
    </row>
    <row r="43" spans="1:19" ht="12.75">
      <c r="A43" s="64"/>
      <c r="B43" s="179"/>
      <c r="I43">
        <v>31</v>
      </c>
      <c r="J43">
        <v>670170.2358388823</v>
      </c>
      <c r="K43">
        <v>15707722.740003899</v>
      </c>
      <c r="R43" s="179"/>
      <c r="S43" s="64"/>
    </row>
    <row r="44" spans="1:19" ht="12.75">
      <c r="A44" s="64"/>
      <c r="B44" s="179"/>
      <c r="I44">
        <v>31</v>
      </c>
      <c r="J44">
        <v>670145.3986338872</v>
      </c>
      <c r="K44">
        <v>15707717.455335736</v>
      </c>
      <c r="R44" s="179"/>
      <c r="S44" s="64"/>
    </row>
    <row r="45" spans="1:19" ht="12.75">
      <c r="A45" s="64"/>
      <c r="B45" s="179"/>
      <c r="I45">
        <v>31</v>
      </c>
      <c r="J45">
        <v>663544.3827072976</v>
      </c>
      <c r="K45">
        <v>15714471.858054075</v>
      </c>
      <c r="R45" s="179"/>
      <c r="S45" s="64"/>
    </row>
    <row r="46" spans="1:19" ht="12.75">
      <c r="A46" s="64"/>
      <c r="B46" s="179"/>
      <c r="I46">
        <v>31</v>
      </c>
      <c r="J46">
        <v>674965.283193836</v>
      </c>
      <c r="K46">
        <v>15697860.178231072</v>
      </c>
      <c r="R46" s="179"/>
      <c r="S46" s="64"/>
    </row>
    <row r="47" spans="1:19" ht="12.75">
      <c r="A47" s="64"/>
      <c r="B47" s="179"/>
      <c r="I47">
        <v>31</v>
      </c>
      <c r="J47">
        <v>676890.3230079332</v>
      </c>
      <c r="K47">
        <v>15697923.303897113</v>
      </c>
      <c r="R47" s="179"/>
      <c r="S47" s="64"/>
    </row>
    <row r="48" spans="1:19" ht="12.75">
      <c r="A48" s="64"/>
      <c r="B48" s="179"/>
      <c r="I48">
        <v>31</v>
      </c>
      <c r="J48">
        <v>678133.3034505766</v>
      </c>
      <c r="K48">
        <v>15698158.082160741</v>
      </c>
      <c r="R48" s="179"/>
      <c r="S48" s="64"/>
    </row>
    <row r="49" spans="1:19" ht="12.75">
      <c r="A49" s="64"/>
      <c r="B49" s="179"/>
      <c r="I49">
        <v>31</v>
      </c>
      <c r="J49">
        <v>678137.9811641301</v>
      </c>
      <c r="K49">
        <v>15698143.773732647</v>
      </c>
      <c r="R49" s="179"/>
      <c r="S49" s="64"/>
    </row>
    <row r="50" spans="1:19" ht="12.75">
      <c r="A50" s="64"/>
      <c r="B50" s="179"/>
      <c r="I50">
        <v>31</v>
      </c>
      <c r="J50">
        <v>677907.8162971525</v>
      </c>
      <c r="K50">
        <v>15698075.617476132</v>
      </c>
      <c r="R50" s="179"/>
      <c r="S50" s="64"/>
    </row>
    <row r="51" spans="1:19" ht="12.75">
      <c r="A51" s="64"/>
      <c r="B51" s="179"/>
      <c r="I51">
        <v>31</v>
      </c>
      <c r="J51">
        <v>677912.3769490795</v>
      </c>
      <c r="K51">
        <v>15698064.644465294</v>
      </c>
      <c r="R51" s="179"/>
      <c r="S51" s="64"/>
    </row>
    <row r="52" spans="1:19" ht="12.75">
      <c r="A52" s="64"/>
      <c r="B52" s="179"/>
      <c r="I52">
        <v>31</v>
      </c>
      <c r="J52">
        <v>679378.0170578628</v>
      </c>
      <c r="K52">
        <v>15698855.227338493</v>
      </c>
      <c r="R52" s="179"/>
      <c r="S52" s="64"/>
    </row>
    <row r="53" spans="1:19" ht="12.75">
      <c r="A53" s="64"/>
      <c r="B53" s="179"/>
      <c r="I53">
        <v>31</v>
      </c>
      <c r="J53">
        <v>681365.5152628683</v>
      </c>
      <c r="K53">
        <v>15699737.179326307</v>
      </c>
      <c r="R53" s="179"/>
      <c r="S53" s="64"/>
    </row>
    <row r="54" spans="1:19" ht="12.75">
      <c r="A54" s="64"/>
      <c r="B54" s="179"/>
      <c r="I54">
        <v>31</v>
      </c>
      <c r="J54">
        <v>683714.7104559303</v>
      </c>
      <c r="K54">
        <v>15700183.210833453</v>
      </c>
      <c r="R54" s="179"/>
      <c r="S54" s="64"/>
    </row>
    <row r="55" spans="1:19" ht="12.75">
      <c r="A55" s="64"/>
      <c r="B55" s="179"/>
      <c r="I55">
        <v>31</v>
      </c>
      <c r="J55">
        <v>689736.6630872809</v>
      </c>
      <c r="K55">
        <v>15700084.51299918</v>
      </c>
      <c r="R55" s="179"/>
      <c r="S55" s="64"/>
    </row>
    <row r="56" spans="1:19" ht="12.75">
      <c r="A56" s="64"/>
      <c r="B56" s="179"/>
      <c r="I56">
        <v>31</v>
      </c>
      <c r="J56">
        <v>699239.5068747262</v>
      </c>
      <c r="K56">
        <v>15697258.398175027</v>
      </c>
      <c r="R56" s="179"/>
      <c r="S56" s="64"/>
    </row>
    <row r="57" spans="1:19" ht="12.75">
      <c r="A57" s="64"/>
      <c r="B57" s="179"/>
      <c r="I57">
        <v>31</v>
      </c>
      <c r="J57">
        <v>699245.8973220136</v>
      </c>
      <c r="K57">
        <v>15697237.49139759</v>
      </c>
      <c r="R57" s="179"/>
      <c r="S57" s="64"/>
    </row>
    <row r="58" spans="1:19" ht="12.75">
      <c r="A58" s="64"/>
      <c r="B58" s="179"/>
      <c r="I58">
        <v>31</v>
      </c>
      <c r="J58">
        <v>677672.4651491343</v>
      </c>
      <c r="K58">
        <v>15691255.639598783</v>
      </c>
      <c r="R58" s="179"/>
      <c r="S58" s="64"/>
    </row>
    <row r="59" spans="1:19" ht="12.75">
      <c r="A59" s="64"/>
      <c r="B59" s="179"/>
      <c r="I59">
        <v>31</v>
      </c>
      <c r="J59">
        <v>684089.5405165525</v>
      </c>
      <c r="K59">
        <v>15685563.631910942</v>
      </c>
      <c r="R59" s="179"/>
      <c r="S59" s="64"/>
    </row>
    <row r="60" spans="1:19" ht="12.75">
      <c r="A60" s="64"/>
      <c r="B60" s="179"/>
      <c r="I60">
        <v>31</v>
      </c>
      <c r="J60">
        <v>684232.4894641093</v>
      </c>
      <c r="K60">
        <v>15685470.809409324</v>
      </c>
      <c r="R60" s="179"/>
      <c r="S60" s="64"/>
    </row>
    <row r="61" spans="1:19" ht="12.75">
      <c r="A61" s="64"/>
      <c r="B61" s="179"/>
      <c r="I61">
        <v>31</v>
      </c>
      <c r="J61">
        <v>608622.551235728</v>
      </c>
      <c r="K61">
        <v>15723589.097325038</v>
      </c>
      <c r="R61" s="179"/>
      <c r="S61" s="64"/>
    </row>
    <row r="62" spans="1:19" ht="12.75">
      <c r="A62" s="64"/>
      <c r="B62" s="179"/>
      <c r="I62">
        <v>31</v>
      </c>
      <c r="J62">
        <v>608642.6118213981</v>
      </c>
      <c r="K62">
        <v>15723589.528628234</v>
      </c>
      <c r="R62" s="179"/>
      <c r="S62" s="64"/>
    </row>
    <row r="63" spans="1:19" ht="12.75">
      <c r="A63" s="64"/>
      <c r="B63" s="179"/>
      <c r="I63">
        <v>31</v>
      </c>
      <c r="J63">
        <v>603297.515428491</v>
      </c>
      <c r="K63">
        <v>15715980.062987417</v>
      </c>
      <c r="R63" s="179"/>
      <c r="S63" s="64"/>
    </row>
    <row r="64" spans="1:19" ht="12.75">
      <c r="A64" s="64"/>
      <c r="B64" s="179"/>
      <c r="I64">
        <v>31</v>
      </c>
      <c r="J64">
        <v>606365.2449966945</v>
      </c>
      <c r="K64">
        <v>15721508.424312588</v>
      </c>
      <c r="R64" s="179"/>
      <c r="S64" s="64"/>
    </row>
    <row r="65" spans="1:19" ht="12.75">
      <c r="A65" s="64"/>
      <c r="B65" s="179"/>
      <c r="I65">
        <v>31</v>
      </c>
      <c r="J65">
        <v>617080.3797393756</v>
      </c>
      <c r="K65">
        <v>15722944.634311631</v>
      </c>
      <c r="R65" s="179"/>
      <c r="S65" s="64"/>
    </row>
    <row r="66" spans="1:19" ht="12.75">
      <c r="A66" s="64"/>
      <c r="B66" s="179"/>
      <c r="I66">
        <v>31</v>
      </c>
      <c r="J66">
        <v>659088.5076361694</v>
      </c>
      <c r="K66">
        <v>15726354.314991247</v>
      </c>
      <c r="R66" s="179"/>
      <c r="S66" s="64"/>
    </row>
    <row r="67" spans="1:19" ht="12.75">
      <c r="A67" s="64"/>
      <c r="B67" s="179"/>
      <c r="I67">
        <v>31</v>
      </c>
      <c r="J67">
        <v>613069.8914825984</v>
      </c>
      <c r="K67">
        <v>15730873.092654966</v>
      </c>
      <c r="R67" s="179"/>
      <c r="S67" s="64"/>
    </row>
    <row r="68" spans="18:19" ht="12.75">
      <c r="R68" s="179"/>
      <c r="S68" s="64"/>
    </row>
    <row r="69" spans="18:19" ht="12.75">
      <c r="R69" s="179"/>
      <c r="S69" s="64"/>
    </row>
  </sheetData>
  <sheetProtection/>
  <mergeCells count="6">
    <mergeCell ref="I2:K2"/>
    <mergeCell ref="A2:B2"/>
    <mergeCell ref="C2:F2"/>
    <mergeCell ref="C3:D3"/>
    <mergeCell ref="E3:F3"/>
    <mergeCell ref="G2:H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U35"/>
  <sheetViews>
    <sheetView zoomScalePageLayoutView="0" workbookViewId="0" topLeftCell="B1">
      <selection activeCell="K2" sqref="K2"/>
    </sheetView>
  </sheetViews>
  <sheetFormatPr defaultColWidth="9.140625" defaultRowHeight="12.75"/>
  <cols>
    <col min="1" max="1" width="8.00390625" style="0" customWidth="1"/>
    <col min="2" max="2" width="12.00390625" style="31" bestFit="1" customWidth="1"/>
    <col min="3" max="3" width="2.7109375" style="0" customWidth="1"/>
    <col min="4" max="4" width="8.00390625" style="0" customWidth="1"/>
    <col min="5" max="5" width="12.57421875" style="0" customWidth="1"/>
    <col min="6" max="6" width="2.7109375" style="0" customWidth="1"/>
    <col min="7" max="7" width="7.28125" style="0" customWidth="1"/>
    <col min="8" max="8" width="12.57421875" style="0" customWidth="1"/>
    <col min="9" max="9" width="2.7109375" style="0" customWidth="1"/>
    <col min="10" max="10" width="7.00390625" style="0" customWidth="1"/>
    <col min="11" max="11" width="12.57421875" style="0" customWidth="1"/>
    <col min="12" max="12" width="2.7109375" style="0" customWidth="1"/>
    <col min="13" max="13" width="8.28125" style="0" customWidth="1"/>
    <col min="14" max="14" width="12.57421875" style="0" customWidth="1"/>
    <col min="15" max="15" width="4.140625" style="0" customWidth="1"/>
    <col min="18" max="18" width="3.28125" style="0" bestFit="1" customWidth="1"/>
  </cols>
  <sheetData>
    <row r="1" spans="1:14" ht="12.75">
      <c r="A1" s="1" t="s">
        <v>0</v>
      </c>
      <c r="B1" s="2"/>
      <c r="C1" s="3"/>
      <c r="D1" s="1" t="s">
        <v>1</v>
      </c>
      <c r="E1" s="4"/>
      <c r="F1" s="3"/>
      <c r="G1" s="1" t="s">
        <v>2</v>
      </c>
      <c r="H1" s="4"/>
      <c r="I1" s="3"/>
      <c r="J1" s="1" t="s">
        <v>3</v>
      </c>
      <c r="K1" s="4"/>
      <c r="L1" s="3"/>
      <c r="M1" s="1" t="s">
        <v>4</v>
      </c>
      <c r="N1" s="4"/>
    </row>
    <row r="2" spans="1:20" ht="12.75">
      <c r="A2" s="5"/>
      <c r="B2" s="6"/>
      <c r="C2" s="7"/>
      <c r="D2" s="8" t="s">
        <v>5</v>
      </c>
      <c r="E2" s="9">
        <v>210580</v>
      </c>
      <c r="F2" s="7" t="s">
        <v>6</v>
      </c>
      <c r="G2" s="8" t="s">
        <v>7</v>
      </c>
      <c r="H2" s="10">
        <f>$H$9</f>
        <v>51.51560420664483</v>
      </c>
      <c r="I2" s="7"/>
      <c r="J2" s="8" t="s">
        <v>7</v>
      </c>
      <c r="K2" s="11">
        <v>51.76385</v>
      </c>
      <c r="L2" s="7" t="s">
        <v>6</v>
      </c>
      <c r="M2" s="8" t="s">
        <v>5</v>
      </c>
      <c r="N2" s="12">
        <f>ROUND($N$24,0)</f>
        <v>162383</v>
      </c>
      <c r="P2" s="13" t="s">
        <v>8</v>
      </c>
      <c r="S2" s="14" t="s">
        <v>9</v>
      </c>
      <c r="T2" s="12">
        <f>WGS842UTM!C7</f>
        <v>31</v>
      </c>
    </row>
    <row r="3" spans="1:20" ht="12.75">
      <c r="A3" s="5"/>
      <c r="B3" s="6"/>
      <c r="C3" s="7"/>
      <c r="D3" s="8" t="s">
        <v>10</v>
      </c>
      <c r="E3" s="9">
        <v>392150</v>
      </c>
      <c r="F3" s="7" t="s">
        <v>6</v>
      </c>
      <c r="G3" s="8" t="s">
        <v>11</v>
      </c>
      <c r="H3" s="10">
        <f>$H$10</f>
        <v>6.187928519749309</v>
      </c>
      <c r="I3" s="7"/>
      <c r="J3" s="8" t="s">
        <v>11</v>
      </c>
      <c r="K3" s="11">
        <v>5.494147</v>
      </c>
      <c r="L3" s="7" t="s">
        <v>6</v>
      </c>
      <c r="M3" s="8" t="s">
        <v>10</v>
      </c>
      <c r="N3" s="12">
        <f>ROUND($N$25,0)</f>
        <v>419468</v>
      </c>
      <c r="P3" s="14" t="s">
        <v>7</v>
      </c>
      <c r="Q3" s="15">
        <v>51.76385</v>
      </c>
      <c r="R3" t="s">
        <v>6</v>
      </c>
      <c r="S3" s="14" t="s">
        <v>12</v>
      </c>
      <c r="T3" s="16">
        <f>WGS842UTM!E40</f>
        <v>672111.3773190033</v>
      </c>
    </row>
    <row r="4" spans="1:20" ht="12.75">
      <c r="A4" s="17"/>
      <c r="B4" s="6"/>
      <c r="C4" s="7"/>
      <c r="D4" s="17"/>
      <c r="E4" s="18"/>
      <c r="F4" s="7"/>
      <c r="G4" s="17"/>
      <c r="H4" s="18"/>
      <c r="I4" s="7"/>
      <c r="J4" s="17"/>
      <c r="K4" s="18"/>
      <c r="L4" s="7"/>
      <c r="M4" s="17"/>
      <c r="N4" s="18"/>
      <c r="P4" s="14" t="s">
        <v>11</v>
      </c>
      <c r="Q4" s="15">
        <v>5.494147</v>
      </c>
      <c r="R4" t="s">
        <v>6</v>
      </c>
      <c r="S4" s="14" t="s">
        <v>13</v>
      </c>
      <c r="T4" s="16">
        <f>WGS842UTM!K40</f>
        <v>15737716.72564561</v>
      </c>
    </row>
    <row r="5" spans="1:14" ht="12.75">
      <c r="A5" s="17" t="s">
        <v>14</v>
      </c>
      <c r="B5" s="19">
        <v>155000</v>
      </c>
      <c r="C5" s="7"/>
      <c r="D5" s="17" t="s">
        <v>15</v>
      </c>
      <c r="E5" s="19">
        <f>$E$2-$B$5</f>
        <v>55580</v>
      </c>
      <c r="F5" s="7"/>
      <c r="G5" s="17" t="s">
        <v>16</v>
      </c>
      <c r="H5" s="18">
        <f>$E$32-52</f>
        <v>-0.48348232287016657</v>
      </c>
      <c r="I5" s="7"/>
      <c r="J5" s="17" t="s">
        <v>16</v>
      </c>
      <c r="K5" s="18">
        <f>$K$2-52</f>
        <v>-0.23615000000000208</v>
      </c>
      <c r="L5" s="7"/>
      <c r="M5" s="17" t="s">
        <v>17</v>
      </c>
      <c r="N5" s="18">
        <f>$K$9/180*PI()</f>
        <v>0.9034660495936409</v>
      </c>
    </row>
    <row r="6" spans="1:16" ht="12.75">
      <c r="A6" s="17" t="s">
        <v>18</v>
      </c>
      <c r="B6" s="19">
        <v>463000</v>
      </c>
      <c r="C6" s="7"/>
      <c r="D6" s="17" t="s">
        <v>19</v>
      </c>
      <c r="E6" s="19">
        <f>$E$3-$B$6</f>
        <v>-70850</v>
      </c>
      <c r="F6" s="7"/>
      <c r="G6" s="17" t="s">
        <v>20</v>
      </c>
      <c r="H6" s="18">
        <f>$E$31-5</f>
        <v>1.1884834452730688</v>
      </c>
      <c r="I6" s="7"/>
      <c r="J6" s="17" t="s">
        <v>20</v>
      </c>
      <c r="K6" s="18">
        <f>$K$3-5</f>
        <v>0.4941469999999999</v>
      </c>
      <c r="L6" s="7"/>
      <c r="M6" s="17" t="s">
        <v>21</v>
      </c>
      <c r="N6" s="18">
        <f>$K$10/180*PI()</f>
        <v>0.09589884839980946</v>
      </c>
      <c r="P6" s="13" t="s">
        <v>22</v>
      </c>
    </row>
    <row r="7" spans="1:17" ht="12.75">
      <c r="A7" s="17" t="s">
        <v>23</v>
      </c>
      <c r="B7" s="6">
        <v>0.9999079</v>
      </c>
      <c r="C7" s="7"/>
      <c r="D7" s="17" t="s">
        <v>24</v>
      </c>
      <c r="E7" s="18">
        <f>SQRT($E$5*$E$5+$E$6*$E$6)</f>
        <v>90049.20266165603</v>
      </c>
      <c r="F7" s="7"/>
      <c r="G7" s="17" t="s">
        <v>25</v>
      </c>
      <c r="H7" s="18">
        <f>(-96.862-$H$5*11.714-$H$6*0.125)*0.00001</f>
        <v>-0.00091347048500558</v>
      </c>
      <c r="I7" s="7"/>
      <c r="J7" s="17" t="s">
        <v>25</v>
      </c>
      <c r="K7" s="18">
        <f>(-96.862-$K$5*11.714-$K$6*0.125)*0.00001</f>
        <v>-0.0009415750727499998</v>
      </c>
      <c r="L7" s="7"/>
      <c r="M7" s="17" t="s">
        <v>26</v>
      </c>
      <c r="N7" s="18">
        <f>LN(TAN($N$5/2+PI()/4))</f>
        <v>1.0595112611610686</v>
      </c>
      <c r="P7" s="14" t="s">
        <v>9</v>
      </c>
      <c r="Q7" s="15">
        <v>31</v>
      </c>
    </row>
    <row r="8" spans="1:20" ht="12.75">
      <c r="A8" s="17" t="s">
        <v>27</v>
      </c>
      <c r="B8" s="6">
        <v>6382644.571</v>
      </c>
      <c r="C8" s="7"/>
      <c r="D8" s="17" t="s">
        <v>28</v>
      </c>
      <c r="E8" s="18">
        <f>IF($E$7&lt;&gt;0,($E$2-$B$5)/$E$7,0)</f>
        <v>0.6172181247271231</v>
      </c>
      <c r="F8" s="7"/>
      <c r="G8" s="17" t="s">
        <v>29</v>
      </c>
      <c r="H8" s="18">
        <f>($H$5*0.329-37.902-$H$6*14.667)*0.00001</f>
        <v>-0.0005549255237604439</v>
      </c>
      <c r="I8" s="7"/>
      <c r="J8" s="17" t="s">
        <v>29</v>
      </c>
      <c r="K8" s="18">
        <f>($K$5*0.329-37.902-$K$6*14.667)*0.00001</f>
        <v>-0.0004522734739900001</v>
      </c>
      <c r="L8" s="7"/>
      <c r="M8" s="17" t="s">
        <v>30</v>
      </c>
      <c r="N8" s="18">
        <f>$B$16/2*LN(($B$16*SIN($N$5)+1)/(1-$B$16*SIN($N$5)))</f>
        <v>0.005249778053763562</v>
      </c>
      <c r="P8" s="14" t="s">
        <v>12</v>
      </c>
      <c r="Q8" s="15">
        <v>649333.2800457407</v>
      </c>
      <c r="R8" t="s">
        <v>6</v>
      </c>
      <c r="S8" s="14" t="s">
        <v>7</v>
      </c>
      <c r="T8" s="16">
        <f>UTM2WGS84!F42</f>
        <v>52.50000000443271</v>
      </c>
    </row>
    <row r="9" spans="1:20" ht="12.75">
      <c r="A9" s="17" t="s">
        <v>31</v>
      </c>
      <c r="B9" s="6">
        <v>0.003773953832</v>
      </c>
      <c r="C9" s="7"/>
      <c r="D9" s="17" t="s">
        <v>32</v>
      </c>
      <c r="E9" s="18">
        <f>IF($E$7&lt;&gt;0,($E$3-$B$6)/$E$7,0)</f>
        <v>-0.7867920859466836</v>
      </c>
      <c r="F9" s="7"/>
      <c r="G9" s="17" t="s">
        <v>33</v>
      </c>
      <c r="H9" s="18">
        <f>$E$32+$H$7</f>
        <v>51.51560420664483</v>
      </c>
      <c r="I9" s="7"/>
      <c r="J9" s="17" t="s">
        <v>34</v>
      </c>
      <c r="K9" s="18">
        <f>$K$2-$K$7</f>
        <v>51.76479157507275</v>
      </c>
      <c r="L9" s="7"/>
      <c r="M9" s="17" t="s">
        <v>35</v>
      </c>
      <c r="N9" s="18">
        <f>$N$7-$N$8</f>
        <v>1.0542614831073052</v>
      </c>
      <c r="P9" s="14" t="s">
        <v>13</v>
      </c>
      <c r="Q9" s="15">
        <v>15818927.034043495</v>
      </c>
      <c r="R9" t="s">
        <v>6</v>
      </c>
      <c r="S9" s="14" t="s">
        <v>11</v>
      </c>
      <c r="T9" s="16">
        <f>UTM2WGS84!P42</f>
        <v>5.2000000002211095</v>
      </c>
    </row>
    <row r="10" spans="1:14" ht="12.75">
      <c r="A10" s="17" t="s">
        <v>36</v>
      </c>
      <c r="B10" s="6">
        <v>1.00047585668</v>
      </c>
      <c r="C10" s="7"/>
      <c r="D10" s="17" t="s">
        <v>37</v>
      </c>
      <c r="E10" s="18">
        <f>ATAN2($B$7*2*$B$8,$E$7)*2</f>
        <v>0.014109512429991837</v>
      </c>
      <c r="F10" s="7"/>
      <c r="G10" s="17" t="s">
        <v>38</v>
      </c>
      <c r="H10" s="18">
        <f>$E$31+$H$8</f>
        <v>6.187928519749309</v>
      </c>
      <c r="I10" s="7"/>
      <c r="J10" s="17" t="s">
        <v>39</v>
      </c>
      <c r="K10" s="18">
        <f>$K$3-$K$8</f>
        <v>5.49459927347399</v>
      </c>
      <c r="L10" s="7"/>
      <c r="M10" s="17" t="s">
        <v>40</v>
      </c>
      <c r="N10" s="18">
        <f>$B$10*$N$9+$B$9</f>
        <v>1.0585371143085087</v>
      </c>
    </row>
    <row r="11" spans="1:14" ht="12.75">
      <c r="A11" s="17" t="s">
        <v>41</v>
      </c>
      <c r="B11" s="6">
        <f>PI()</f>
        <v>3.141592653589793</v>
      </c>
      <c r="C11" s="7"/>
      <c r="D11" s="17" t="s">
        <v>42</v>
      </c>
      <c r="E11" s="18">
        <f>COS($E$10)</f>
        <v>0.9999004624808241</v>
      </c>
      <c r="F11" s="7"/>
      <c r="G11" s="17"/>
      <c r="H11" s="18"/>
      <c r="I11" s="7"/>
      <c r="J11" s="17"/>
      <c r="K11" s="18"/>
      <c r="L11" s="7"/>
      <c r="M11" s="17" t="s">
        <v>43</v>
      </c>
      <c r="N11" s="18">
        <f>ATAN(EXP($N$10))*2-PI()/2</f>
        <v>0.90286292800968</v>
      </c>
    </row>
    <row r="12" spans="1:20" ht="12.75">
      <c r="A12" s="17" t="s">
        <v>44</v>
      </c>
      <c r="B12" s="6">
        <f>PI()*0.0299313271611111</f>
        <v>0.09403203752153927</v>
      </c>
      <c r="C12" s="7"/>
      <c r="D12" s="17" t="s">
        <v>45</v>
      </c>
      <c r="E12" s="18">
        <f>SIN($E$10)</f>
        <v>0.014109044284930563</v>
      </c>
      <c r="F12" s="7"/>
      <c r="G12" s="17"/>
      <c r="H12" s="18"/>
      <c r="I12" s="7"/>
      <c r="J12" s="17"/>
      <c r="K12" s="18"/>
      <c r="L12" s="7"/>
      <c r="M12" s="17" t="s">
        <v>46</v>
      </c>
      <c r="N12" s="18">
        <f>$B$10*($N$6-$B$12)</f>
        <v>0.0018676992126969109</v>
      </c>
      <c r="P12" s="13" t="s">
        <v>47</v>
      </c>
      <c r="S12" s="14" t="s">
        <v>48</v>
      </c>
      <c r="T12" s="12" t="str">
        <f>UK!C3</f>
        <v>TO</v>
      </c>
    </row>
    <row r="13" spans="1:21" ht="12.75">
      <c r="A13" s="17" t="s">
        <v>49</v>
      </c>
      <c r="B13" s="6">
        <f>PI()*0.289756447533333</f>
        <v>0.9102967269009954</v>
      </c>
      <c r="C13" s="7"/>
      <c r="D13" s="17" t="s">
        <v>50</v>
      </c>
      <c r="E13" s="18">
        <f>$E$9*COS($B$15)*$E$12+SIN($B$15)*$E$11</f>
        <v>0.782415772156511</v>
      </c>
      <c r="F13" s="7"/>
      <c r="G13" s="17"/>
      <c r="H13" s="18"/>
      <c r="I13" s="7"/>
      <c r="J13" s="17"/>
      <c r="K13" s="18"/>
      <c r="L13" s="7"/>
      <c r="M13" s="17" t="s">
        <v>15</v>
      </c>
      <c r="N13" s="18">
        <f>SIN(($N$11-$B$15)/2)</f>
        <v>-0.0034109077548132426</v>
      </c>
      <c r="P13" s="14" t="s">
        <v>7</v>
      </c>
      <c r="Q13" s="15">
        <v>51.50475</v>
      </c>
      <c r="R13" t="s">
        <v>6</v>
      </c>
      <c r="S13" s="14" t="s">
        <v>12</v>
      </c>
      <c r="T13" s="16">
        <f>UK!D3</f>
        <v>78455</v>
      </c>
      <c r="U13" s="20">
        <f>UK!D4</f>
        <v>878455</v>
      </c>
    </row>
    <row r="14" spans="1:21" ht="12.75">
      <c r="A14" s="17" t="s">
        <v>51</v>
      </c>
      <c r="B14" s="6">
        <f>PI()*0.0299313271611111</f>
        <v>0.09403203752153927</v>
      </c>
      <c r="C14" s="7"/>
      <c r="D14" s="17" t="s">
        <v>15</v>
      </c>
      <c r="E14" s="18">
        <f>$E$13</f>
        <v>0.782415772156511</v>
      </c>
      <c r="F14" s="7"/>
      <c r="G14" s="17"/>
      <c r="H14" s="18"/>
      <c r="I14" s="7"/>
      <c r="J14" s="17"/>
      <c r="K14" s="18"/>
      <c r="L14" s="7"/>
      <c r="M14" s="17" t="s">
        <v>19</v>
      </c>
      <c r="N14" s="18">
        <f>SIN($N$12/2)</f>
        <v>0.0009338494706172985</v>
      </c>
      <c r="P14" s="14" t="s">
        <v>11</v>
      </c>
      <c r="Q14" s="15">
        <v>4.895917</v>
      </c>
      <c r="R14" t="s">
        <v>6</v>
      </c>
      <c r="S14" s="14" t="s">
        <v>13</v>
      </c>
      <c r="T14" s="16">
        <f>UK!E3</f>
        <v>1007</v>
      </c>
      <c r="U14" s="20">
        <f>UK!E4</f>
        <v>201007</v>
      </c>
    </row>
    <row r="15" spans="1:14" ht="12.75">
      <c r="A15" s="17" t="s">
        <v>52</v>
      </c>
      <c r="B15" s="6">
        <f>PI()*0.289561651383333</f>
        <v>0.9096847567472077</v>
      </c>
      <c r="C15" s="7"/>
      <c r="D15" s="17" t="s">
        <v>53</v>
      </c>
      <c r="E15" s="18">
        <f>SQRT(1-$E$14^2)</f>
        <v>0.6227564206660021</v>
      </c>
      <c r="F15" s="7"/>
      <c r="G15" s="17"/>
      <c r="H15" s="18"/>
      <c r="I15" s="7"/>
      <c r="J15" s="17"/>
      <c r="K15" s="18"/>
      <c r="L15" s="7"/>
      <c r="M15" s="17" t="s">
        <v>54</v>
      </c>
      <c r="N15" s="18">
        <f>$N$13*$N$13+$N$14*$N$14*COS($N$11)*COS($B$15)</f>
        <v>1.1965930133250875E-05</v>
      </c>
    </row>
    <row r="16" spans="1:16" ht="12.75">
      <c r="A16" s="17" t="s">
        <v>55</v>
      </c>
      <c r="B16" s="6">
        <v>0.08169683122</v>
      </c>
      <c r="C16" s="7"/>
      <c r="D16" s="17" t="s">
        <v>43</v>
      </c>
      <c r="E16" s="18">
        <f>ACOS($E$15)</f>
        <v>0.8985355803302897</v>
      </c>
      <c r="F16" s="7"/>
      <c r="G16" s="17"/>
      <c r="H16" s="18"/>
      <c r="I16" s="7"/>
      <c r="J16" s="17"/>
      <c r="K16" s="18"/>
      <c r="L16" s="7"/>
      <c r="M16" s="17" t="s">
        <v>56</v>
      </c>
      <c r="N16" s="18">
        <f>SQRT(1-$N$15)</f>
        <v>0.9999940170170354</v>
      </c>
      <c r="P16" s="13" t="s">
        <v>57</v>
      </c>
    </row>
    <row r="17" spans="1:17" ht="12.75">
      <c r="A17" s="17" t="s">
        <v>58</v>
      </c>
      <c r="B17" s="6">
        <v>6377397.155</v>
      </c>
      <c r="C17" s="7"/>
      <c r="D17" s="17" t="s">
        <v>59</v>
      </c>
      <c r="E17" s="18">
        <f>$E$8*$E$12/$E$15</f>
        <v>0.013983569765404729</v>
      </c>
      <c r="F17" s="7"/>
      <c r="G17" s="17"/>
      <c r="H17" s="18"/>
      <c r="I17" s="7"/>
      <c r="J17" s="17"/>
      <c r="K17" s="18"/>
      <c r="L17" s="7"/>
      <c r="M17" s="17" t="s">
        <v>60</v>
      </c>
      <c r="N17" s="18">
        <f>SQRT($N$15)</f>
        <v>0.003459180558058639</v>
      </c>
      <c r="P17" s="14" t="s">
        <v>48</v>
      </c>
      <c r="Q17" s="21" t="s">
        <v>61</v>
      </c>
    </row>
    <row r="18" spans="1:20" ht="12.75">
      <c r="A18" s="17"/>
      <c r="B18" s="6"/>
      <c r="C18" s="7"/>
      <c r="D18" s="17" t="s">
        <v>46</v>
      </c>
      <c r="E18" s="18">
        <f>ASIN($E$17)</f>
        <v>0.01398402553056933</v>
      </c>
      <c r="F18" s="7"/>
      <c r="G18" s="17"/>
      <c r="H18" s="18"/>
      <c r="I18" s="7"/>
      <c r="J18" s="17"/>
      <c r="K18" s="18"/>
      <c r="L18" s="7"/>
      <c r="M18" s="17" t="s">
        <v>62</v>
      </c>
      <c r="N18" s="18">
        <f>$N$17/$N$16</f>
        <v>0.003459201254400815</v>
      </c>
      <c r="P18" s="14" t="s">
        <v>12</v>
      </c>
      <c r="Q18" s="22">
        <v>43352</v>
      </c>
      <c r="S18" s="14" t="s">
        <v>7</v>
      </c>
      <c r="T18" s="16">
        <f>UK!I3</f>
        <v>52.000361002928</v>
      </c>
    </row>
    <row r="19" spans="1:20" ht="12.75">
      <c r="A19" s="17"/>
      <c r="B19" s="6"/>
      <c r="C19" s="7"/>
      <c r="D19" s="17" t="s">
        <v>21</v>
      </c>
      <c r="E19" s="18">
        <f>$E$18/$B$10+$B$12</f>
        <v>0.10800941182517736</v>
      </c>
      <c r="F19" s="7"/>
      <c r="G19" s="17"/>
      <c r="H19" s="18"/>
      <c r="I19" s="7"/>
      <c r="J19" s="17"/>
      <c r="K19" s="18"/>
      <c r="L19" s="7"/>
      <c r="M19" s="17" t="s">
        <v>45</v>
      </c>
      <c r="N19" s="18">
        <f>$N$17*2*$N$16</f>
        <v>0.006918319723680577</v>
      </c>
      <c r="P19" s="14" t="s">
        <v>13</v>
      </c>
      <c r="Q19" s="22">
        <v>63219</v>
      </c>
      <c r="S19" s="14" t="s">
        <v>11</v>
      </c>
      <c r="T19" s="16">
        <f>UK!J3</f>
        <v>5.9194723806389264</v>
      </c>
    </row>
    <row r="20" spans="1:14" ht="12.75">
      <c r="A20" s="17"/>
      <c r="B20" s="6"/>
      <c r="C20" s="7"/>
      <c r="D20" s="17" t="s">
        <v>40</v>
      </c>
      <c r="E20" s="18">
        <f>LN(TAN($E$16/2+PI()/4))</f>
        <v>1.0515694342534905</v>
      </c>
      <c r="F20" s="7"/>
      <c r="G20" s="17"/>
      <c r="H20" s="18"/>
      <c r="I20" s="7"/>
      <c r="J20" s="17"/>
      <c r="K20" s="18"/>
      <c r="L20" s="7"/>
      <c r="M20" s="17" t="s">
        <v>42</v>
      </c>
      <c r="N20" s="18">
        <f>1-$N$15*2</f>
        <v>0.9999760681397335</v>
      </c>
    </row>
    <row r="21" spans="1:14" ht="12.75">
      <c r="A21" s="17"/>
      <c r="B21" s="6"/>
      <c r="C21" s="7"/>
      <c r="D21" s="17" t="s">
        <v>35</v>
      </c>
      <c r="E21" s="18">
        <f>($E$20-$B$9)/$B$10</f>
        <v>1.0472971170923773</v>
      </c>
      <c r="F21" s="7"/>
      <c r="G21" s="17"/>
      <c r="H21" s="18"/>
      <c r="I21" s="7"/>
      <c r="J21" s="17"/>
      <c r="K21" s="18"/>
      <c r="L21" s="7"/>
      <c r="M21" s="17" t="s">
        <v>28</v>
      </c>
      <c r="N21" s="18">
        <f>SIN($N$12)*COS($N$11)/$N$19</f>
        <v>0.16720628008035232</v>
      </c>
    </row>
    <row r="22" spans="1:14" ht="12.75">
      <c r="A22" s="17"/>
      <c r="B22" s="6"/>
      <c r="C22" s="7"/>
      <c r="D22" s="17" t="s">
        <v>63</v>
      </c>
      <c r="E22" s="18">
        <f>ATAN(EXP($E$21))*2-PI()/2</f>
        <v>0.8958705187270968</v>
      </c>
      <c r="F22" s="7"/>
      <c r="G22" s="17"/>
      <c r="H22" s="18"/>
      <c r="I22" s="7"/>
      <c r="J22" s="17"/>
      <c r="K22" s="18"/>
      <c r="L22" s="7"/>
      <c r="M22" s="17" t="s">
        <v>32</v>
      </c>
      <c r="N22" s="18">
        <f>(SIN($N$11)-SIN($B$15)*$N$20)/(COS($B15)*$N$19)</f>
        <v>-0.9859219339793883</v>
      </c>
    </row>
    <row r="23" spans="1:14" ht="12.75">
      <c r="A23" s="17"/>
      <c r="B23" s="6"/>
      <c r="C23" s="7"/>
      <c r="D23" s="17" t="s">
        <v>30</v>
      </c>
      <c r="E23" s="18">
        <f>$B$16/2*LN(($B$16*SIN($E$22)+1)/(1-$B$16*SIN($E$22)))</f>
        <v>0.005218122620326579</v>
      </c>
      <c r="F23" s="7"/>
      <c r="G23" s="17"/>
      <c r="H23" s="18"/>
      <c r="I23" s="7"/>
      <c r="J23" s="17"/>
      <c r="K23" s="18"/>
      <c r="L23" s="7"/>
      <c r="M23" s="17" t="s">
        <v>24</v>
      </c>
      <c r="N23" s="18">
        <f>$B$7*2*$B$8*$N$18</f>
        <v>44153.63728823751</v>
      </c>
    </row>
    <row r="24" spans="1:14" ht="12.75">
      <c r="A24" s="17"/>
      <c r="B24" s="6"/>
      <c r="C24" s="7"/>
      <c r="D24" s="17" t="s">
        <v>17</v>
      </c>
      <c r="E24" s="18">
        <f>ATAN(EXP($E$21+$E$23))*2-PI()/2</f>
        <v>0.8991243688362016</v>
      </c>
      <c r="F24" s="7"/>
      <c r="G24" s="17"/>
      <c r="H24" s="18"/>
      <c r="I24" s="7"/>
      <c r="J24" s="17"/>
      <c r="K24" s="18"/>
      <c r="L24" s="7"/>
      <c r="M24" s="17" t="s">
        <v>64</v>
      </c>
      <c r="N24" s="18">
        <f>$N$23*$N$21+$B$5</f>
        <v>162382.76544298333</v>
      </c>
    </row>
    <row r="25" spans="1:14" ht="12.75">
      <c r="A25" s="17"/>
      <c r="B25" s="6"/>
      <c r="C25" s="7"/>
      <c r="D25" s="17" t="s">
        <v>30</v>
      </c>
      <c r="E25" s="18">
        <f>$B$16/2*LN(($B$16*SIN($E$24)+1)/(1-$B$16*SIN($E$24)))</f>
        <v>0.005231720368469426</v>
      </c>
      <c r="F25" s="7"/>
      <c r="G25" s="17"/>
      <c r="H25" s="18"/>
      <c r="I25" s="7"/>
      <c r="J25" s="17"/>
      <c r="K25" s="18"/>
      <c r="L25" s="7"/>
      <c r="M25" s="17" t="s">
        <v>65</v>
      </c>
      <c r="N25" s="18">
        <f>$N$23*$N$22+$B$6</f>
        <v>419467.96053255646</v>
      </c>
    </row>
    <row r="26" spans="1:14" ht="12.75">
      <c r="A26" s="17"/>
      <c r="B26" s="6"/>
      <c r="C26" s="7"/>
      <c r="D26" s="17" t="s">
        <v>17</v>
      </c>
      <c r="E26" s="18">
        <f>ATAN(EXP($E$21+$E$25))*2-PI()/2</f>
        <v>0.8991328306104873</v>
      </c>
      <c r="F26" s="7"/>
      <c r="G26" s="17"/>
      <c r="H26" s="18"/>
      <c r="I26" s="7"/>
      <c r="J26" s="17"/>
      <c r="K26" s="18"/>
      <c r="L26" s="7"/>
      <c r="M26" s="17"/>
      <c r="N26" s="18"/>
    </row>
    <row r="27" spans="1:14" ht="12.75">
      <c r="A27" s="17"/>
      <c r="B27" s="6"/>
      <c r="C27" s="7"/>
      <c r="D27" s="17" t="s">
        <v>30</v>
      </c>
      <c r="E27" s="18">
        <f>$B$16/2*LN(($B$16*SIN($E$26)+1)/(1-$B$16*SIN($E$26)))</f>
        <v>0.0052317556580174195</v>
      </c>
      <c r="F27" s="7"/>
      <c r="G27" s="17"/>
      <c r="H27" s="18"/>
      <c r="I27" s="7"/>
      <c r="J27" s="17"/>
      <c r="K27" s="18"/>
      <c r="L27" s="7"/>
      <c r="M27" s="17"/>
      <c r="N27" s="18"/>
    </row>
    <row r="28" spans="1:14" ht="12.75">
      <c r="A28" s="17"/>
      <c r="B28" s="6"/>
      <c r="C28" s="7"/>
      <c r="D28" s="17" t="s">
        <v>17</v>
      </c>
      <c r="E28" s="18">
        <f>ATAN(EXP($E$21+$E$27))*2-PI()/2</f>
        <v>0.8991328525707849</v>
      </c>
      <c r="F28" s="7"/>
      <c r="G28" s="17"/>
      <c r="H28" s="18"/>
      <c r="I28" s="7"/>
      <c r="J28" s="17"/>
      <c r="K28" s="18"/>
      <c r="L28" s="7"/>
      <c r="M28" s="17"/>
      <c r="N28" s="18"/>
    </row>
    <row r="29" spans="1:14" ht="12.75">
      <c r="A29" s="17"/>
      <c r="B29" s="6"/>
      <c r="C29" s="7"/>
      <c r="D29" s="17" t="s">
        <v>30</v>
      </c>
      <c r="E29" s="18">
        <f>$B$16/2*LN(($B$16*SIN($E$28)+1)/(1-$B$16*SIN($E$28)))</f>
        <v>0.005231755749601626</v>
      </c>
      <c r="F29" s="7"/>
      <c r="G29" s="17"/>
      <c r="H29" s="18"/>
      <c r="I29" s="7"/>
      <c r="J29" s="17"/>
      <c r="K29" s="18"/>
      <c r="L29" s="7"/>
      <c r="M29" s="17"/>
      <c r="N29" s="18"/>
    </row>
    <row r="30" spans="1:14" ht="12.75">
      <c r="A30" s="17"/>
      <c r="B30" s="6"/>
      <c r="C30" s="7"/>
      <c r="D30" s="17" t="s">
        <v>17</v>
      </c>
      <c r="E30" s="18">
        <f>ATAN(EXP($E$21+$E$29))*2-PI()/2</f>
        <v>0.8991328526277766</v>
      </c>
      <c r="F30" s="7"/>
      <c r="G30" s="17"/>
      <c r="H30" s="18"/>
      <c r="I30" s="7"/>
      <c r="J30" s="17"/>
      <c r="K30" s="18"/>
      <c r="L30" s="7"/>
      <c r="M30" s="17"/>
      <c r="N30" s="18"/>
    </row>
    <row r="31" spans="1:14" ht="12.75">
      <c r="A31" s="17"/>
      <c r="B31" s="6"/>
      <c r="C31" s="7"/>
      <c r="D31" s="17" t="s">
        <v>21</v>
      </c>
      <c r="E31" s="18">
        <f>$E$19/PI()*180</f>
        <v>6.188483445273069</v>
      </c>
      <c r="F31" s="7"/>
      <c r="G31" s="17"/>
      <c r="H31" s="18"/>
      <c r="I31" s="7"/>
      <c r="J31" s="17"/>
      <c r="K31" s="18"/>
      <c r="L31" s="7"/>
      <c r="M31" s="17"/>
      <c r="N31" s="18"/>
    </row>
    <row r="32" spans="1:14" ht="12.75">
      <c r="A32" s="17"/>
      <c r="B32" s="6"/>
      <c r="C32" s="7"/>
      <c r="D32" s="17" t="s">
        <v>17</v>
      </c>
      <c r="E32" s="18">
        <f>$E$30/PI()*180</f>
        <v>51.51651767712983</v>
      </c>
      <c r="F32" s="7"/>
      <c r="G32" s="17"/>
      <c r="H32" s="18"/>
      <c r="I32" s="7"/>
      <c r="J32" s="17"/>
      <c r="K32" s="18"/>
      <c r="L32" s="7"/>
      <c r="M32" s="17"/>
      <c r="N32" s="18"/>
    </row>
    <row r="33" spans="1:14" ht="12.75">
      <c r="A33" s="17"/>
      <c r="B33" s="6"/>
      <c r="C33" s="7"/>
      <c r="D33" s="17"/>
      <c r="E33" s="18"/>
      <c r="F33" s="7"/>
      <c r="G33" s="17"/>
      <c r="H33" s="18"/>
      <c r="I33" s="7"/>
      <c r="J33" s="17"/>
      <c r="K33" s="18"/>
      <c r="L33" s="7"/>
      <c r="M33" s="17"/>
      <c r="N33" s="18"/>
    </row>
    <row r="34" spans="1:14" ht="12.75">
      <c r="A34" s="23" t="s">
        <v>66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ht="12.75">
      <c r="A35" s="27" t="s">
        <v>67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T143"/>
  <sheetViews>
    <sheetView zoomScalePageLayoutView="0" workbookViewId="0" topLeftCell="A1">
      <selection activeCell="K2" sqref="K2"/>
    </sheetView>
  </sheetViews>
  <sheetFormatPr defaultColWidth="10.28125" defaultRowHeight="12.75"/>
  <cols>
    <col min="1" max="1" width="18.00390625" style="35" bestFit="1" customWidth="1"/>
    <col min="2" max="2" width="22.00390625" style="35" customWidth="1"/>
    <col min="3" max="3" width="10.28125" style="35" customWidth="1"/>
    <col min="4" max="5" width="9.140625" style="35" customWidth="1"/>
    <col min="6" max="6" width="2.57421875" style="35" customWidth="1"/>
    <col min="7" max="7" width="17.7109375" style="35" customWidth="1"/>
    <col min="8" max="8" width="12.421875" style="35" bestFit="1" customWidth="1"/>
    <col min="9" max="9" width="12.7109375" style="35" customWidth="1"/>
    <col min="10" max="10" width="13.421875" style="35" bestFit="1" customWidth="1"/>
    <col min="11" max="11" width="11.00390625" style="35" bestFit="1" customWidth="1"/>
    <col min="12" max="12" width="4.57421875" style="35" customWidth="1"/>
    <col min="13" max="13" width="13.421875" style="35" bestFit="1" customWidth="1"/>
    <col min="14" max="14" width="11.00390625" style="35" bestFit="1" customWidth="1"/>
    <col min="15" max="15" width="4.421875" style="35" customWidth="1"/>
    <col min="16" max="16" width="13.421875" style="35" bestFit="1" customWidth="1"/>
    <col min="17" max="17" width="11.00390625" style="35" bestFit="1" customWidth="1"/>
    <col min="18" max="18" width="4.57421875" style="35" customWidth="1"/>
    <col min="19" max="19" width="13.421875" style="35" bestFit="1" customWidth="1"/>
    <col min="20" max="20" width="11.00390625" style="35" bestFit="1" customWidth="1"/>
    <col min="21" max="21" width="5.8515625" style="35" customWidth="1"/>
    <col min="22" max="22" width="13.421875" style="35" bestFit="1" customWidth="1"/>
    <col min="23" max="23" width="11.00390625" style="35" bestFit="1" customWidth="1"/>
    <col min="24" max="24" width="10.28125" style="35" customWidth="1"/>
    <col min="25" max="25" width="13.421875" style="35" bestFit="1" customWidth="1"/>
    <col min="26" max="26" width="11.00390625" style="35" bestFit="1" customWidth="1"/>
    <col min="27" max="27" width="10.28125" style="35" customWidth="1"/>
    <col min="28" max="28" width="13.421875" style="35" bestFit="1" customWidth="1"/>
    <col min="29" max="29" width="11.00390625" style="35" bestFit="1" customWidth="1"/>
    <col min="30" max="30" width="4.00390625" style="35" customWidth="1"/>
    <col min="31" max="31" width="13.421875" style="35" bestFit="1" customWidth="1"/>
    <col min="32" max="32" width="11.00390625" style="35" bestFit="1" customWidth="1"/>
    <col min="33" max="33" width="3.8515625" style="35" customWidth="1"/>
    <col min="34" max="34" width="13.421875" style="35" bestFit="1" customWidth="1"/>
    <col min="35" max="35" width="11.00390625" style="35" bestFit="1" customWidth="1"/>
    <col min="36" max="36" width="3.7109375" style="35" customWidth="1"/>
    <col min="37" max="37" width="13.421875" style="35" bestFit="1" customWidth="1"/>
    <col min="38" max="38" width="11.00390625" style="35" bestFit="1" customWidth="1"/>
    <col min="39" max="39" width="4.00390625" style="35" customWidth="1"/>
    <col min="40" max="40" width="13.421875" style="35" bestFit="1" customWidth="1"/>
    <col min="41" max="41" width="11.00390625" style="35" bestFit="1" customWidth="1"/>
    <col min="42" max="42" width="3.421875" style="35" customWidth="1"/>
    <col min="43" max="43" width="13.421875" style="35" bestFit="1" customWidth="1"/>
    <col min="44" max="44" width="11.00390625" style="35" bestFit="1" customWidth="1"/>
    <col min="45" max="45" width="4.421875" style="35" customWidth="1"/>
    <col min="46" max="46" width="13.421875" style="35" bestFit="1" customWidth="1"/>
    <col min="47" max="47" width="11.00390625" style="35" bestFit="1" customWidth="1"/>
    <col min="48" max="48" width="4.00390625" style="35" customWidth="1"/>
    <col min="49" max="49" width="13.421875" style="35" bestFit="1" customWidth="1"/>
    <col min="50" max="50" width="11.00390625" style="35" bestFit="1" customWidth="1"/>
    <col min="51" max="51" width="10.28125" style="35" customWidth="1"/>
    <col min="52" max="52" width="13.421875" style="35" bestFit="1" customWidth="1"/>
    <col min="53" max="53" width="11.00390625" style="35" bestFit="1" customWidth="1"/>
    <col min="54" max="54" width="10.28125" style="35" customWidth="1"/>
    <col min="55" max="55" width="13.421875" style="35" bestFit="1" customWidth="1"/>
    <col min="56" max="56" width="11.00390625" style="35" bestFit="1" customWidth="1"/>
    <col min="57" max="57" width="3.7109375" style="35" customWidth="1"/>
    <col min="58" max="58" width="13.421875" style="35" bestFit="1" customWidth="1"/>
    <col min="59" max="59" width="11.00390625" style="35" bestFit="1" customWidth="1"/>
    <col min="60" max="60" width="2.28125" style="35" customWidth="1"/>
    <col min="61" max="61" width="13.421875" style="35" bestFit="1" customWidth="1"/>
    <col min="62" max="62" width="11.00390625" style="35" bestFit="1" customWidth="1"/>
    <col min="63" max="63" width="3.140625" style="35" customWidth="1"/>
    <col min="64" max="64" width="13.421875" style="35" bestFit="1" customWidth="1"/>
    <col min="65" max="65" width="11.00390625" style="35" bestFit="1" customWidth="1"/>
    <col min="66" max="66" width="4.28125" style="35" customWidth="1"/>
    <col min="67" max="67" width="13.421875" style="35" bestFit="1" customWidth="1"/>
    <col min="68" max="68" width="11.00390625" style="35" bestFit="1" customWidth="1"/>
    <col min="69" max="16384" width="10.28125" style="35" customWidth="1"/>
  </cols>
  <sheetData>
    <row r="1" spans="1:70" ht="9.75">
      <c r="A1" s="32" t="s">
        <v>68</v>
      </c>
      <c r="B1" s="33" t="s">
        <v>69</v>
      </c>
      <c r="C1" s="33" t="s">
        <v>70</v>
      </c>
      <c r="D1" s="34"/>
      <c r="E1" s="34"/>
      <c r="G1" s="36" t="s">
        <v>71</v>
      </c>
      <c r="H1" s="37"/>
      <c r="I1" s="33" t="s">
        <v>69</v>
      </c>
      <c r="BR1" s="38" t="s">
        <v>72</v>
      </c>
    </row>
    <row r="2" spans="1:10" ht="9.75">
      <c r="A2" s="39" t="s">
        <v>73</v>
      </c>
      <c r="B2" s="40">
        <f>Calc!Q13</f>
        <v>51.50475</v>
      </c>
      <c r="C2" s="33" t="s">
        <v>74</v>
      </c>
      <c r="D2" s="33" t="s">
        <v>75</v>
      </c>
      <c r="E2" s="33" t="s">
        <v>76</v>
      </c>
      <c r="I2" s="33" t="s">
        <v>77</v>
      </c>
      <c r="J2" s="33" t="s">
        <v>78</v>
      </c>
    </row>
    <row r="3" spans="1:72" ht="9.75">
      <c r="A3" s="39" t="s">
        <v>79</v>
      </c>
      <c r="B3" s="40">
        <f>Calc!Q14</f>
        <v>4.895917</v>
      </c>
      <c r="C3" s="41" t="str">
        <f>B120</f>
        <v>TO</v>
      </c>
      <c r="D3" s="42">
        <f>B121</f>
        <v>78455</v>
      </c>
      <c r="E3" s="42">
        <f>B122</f>
        <v>1007</v>
      </c>
      <c r="G3" s="43" t="s">
        <v>80</v>
      </c>
      <c r="H3" s="44" t="str">
        <f>Calc!Q17&amp;" "&amp;Calc!Q18&amp;" "&amp;Calc!Q19</f>
        <v>TP 43352 63219</v>
      </c>
      <c r="I3" s="45">
        <f>H67</f>
        <v>52.000361002928</v>
      </c>
      <c r="J3" s="45">
        <f>H70</f>
        <v>5.9194723806389264</v>
      </c>
      <c r="BS3" s="35" t="s">
        <v>81</v>
      </c>
      <c r="BT3" s="35" t="s">
        <v>82</v>
      </c>
    </row>
    <row r="4" spans="3:72" ht="9.75">
      <c r="C4" s="34"/>
      <c r="D4" s="41">
        <f>INT(B103)</f>
        <v>878455</v>
      </c>
      <c r="E4" s="41">
        <f>INT(B102)</f>
        <v>201007</v>
      </c>
      <c r="G4" s="35" t="s">
        <v>83</v>
      </c>
      <c r="H4" s="35">
        <f>FIND(" ",H3)</f>
        <v>3</v>
      </c>
      <c r="BR4" s="35" t="s">
        <v>84</v>
      </c>
      <c r="BS4" s="35">
        <v>0</v>
      </c>
      <c r="BT4" s="35">
        <v>400</v>
      </c>
    </row>
    <row r="5" spans="1:72" ht="9.75">
      <c r="A5" s="35" t="s">
        <v>73</v>
      </c>
      <c r="B5" s="35">
        <f>B69</f>
        <v>51.50421496140526</v>
      </c>
      <c r="G5" s="35" t="s">
        <v>85</v>
      </c>
      <c r="H5" s="35">
        <f>FIND(" ",H3,H4+1)</f>
        <v>9</v>
      </c>
      <c r="BR5" s="35" t="s">
        <v>86</v>
      </c>
      <c r="BS5" s="35">
        <v>100</v>
      </c>
      <c r="BT5" s="35">
        <v>400</v>
      </c>
    </row>
    <row r="6" spans="1:72" ht="9.75">
      <c r="A6" s="35" t="s">
        <v>79</v>
      </c>
      <c r="B6" s="35">
        <f>B70</f>
        <v>4.897970565932232</v>
      </c>
      <c r="G6" s="35" t="s">
        <v>87</v>
      </c>
      <c r="H6" s="35" t="str">
        <f>LEFT(H3,H4-1)</f>
        <v>TP</v>
      </c>
      <c r="BR6" s="35" t="s">
        <v>88</v>
      </c>
      <c r="BS6" s="35">
        <v>200</v>
      </c>
      <c r="BT6" s="35">
        <v>400</v>
      </c>
    </row>
    <row r="7" spans="7:72" ht="9.75">
      <c r="G7" s="35" t="s">
        <v>89</v>
      </c>
      <c r="H7" s="35" t="str">
        <f>MID(H3,H4+1,H5-H4-1)</f>
        <v>43352</v>
      </c>
      <c r="BR7" s="35" t="s">
        <v>90</v>
      </c>
      <c r="BS7" s="35">
        <v>300</v>
      </c>
      <c r="BT7" s="35">
        <v>400</v>
      </c>
    </row>
    <row r="8" spans="1:72" ht="9.75">
      <c r="A8" s="35" t="str">
        <f>A102</f>
        <v>OSNorthingIndex</v>
      </c>
      <c r="B8" s="35">
        <f>B102</f>
        <v>201007</v>
      </c>
      <c r="G8" s="35" t="s">
        <v>91</v>
      </c>
      <c r="H8" s="35" t="str">
        <f>RIGHT(H3,LEN(H3)-H5)</f>
        <v>63219</v>
      </c>
      <c r="BR8" s="35" t="s">
        <v>75</v>
      </c>
      <c r="BS8" s="35">
        <v>400</v>
      </c>
      <c r="BT8" s="35">
        <v>400</v>
      </c>
    </row>
    <row r="9" spans="1:72" ht="9.75">
      <c r="A9" s="35" t="str">
        <f>A103</f>
        <v>OSeastingIndex</v>
      </c>
      <c r="B9" s="35">
        <f>B103</f>
        <v>878455.1053966635</v>
      </c>
      <c r="G9" s="35" t="s">
        <v>92</v>
      </c>
      <c r="H9" s="35" t="str">
        <f>LEFT(H7&amp;"00000",5)</f>
        <v>43352</v>
      </c>
      <c r="BR9" s="35" t="s">
        <v>93</v>
      </c>
      <c r="BS9" s="35">
        <v>0</v>
      </c>
      <c r="BT9" s="35">
        <v>300</v>
      </c>
    </row>
    <row r="10" spans="7:72" ht="9.75">
      <c r="G10" s="35" t="s">
        <v>94</v>
      </c>
      <c r="H10" s="35" t="str">
        <f>LEFT(H8&amp;"00000",5)</f>
        <v>63219</v>
      </c>
      <c r="BR10" s="35" t="s">
        <v>95</v>
      </c>
      <c r="BS10" s="35">
        <v>100</v>
      </c>
      <c r="BT10" s="35">
        <v>300</v>
      </c>
    </row>
    <row r="11" spans="70:72" ht="9.75">
      <c r="BR11" s="35" t="s">
        <v>96</v>
      </c>
      <c r="BS11" s="35">
        <v>200</v>
      </c>
      <c r="BT11" s="35">
        <v>300</v>
      </c>
    </row>
    <row r="12" spans="1:72" ht="9.75">
      <c r="A12" s="35" t="s">
        <v>97</v>
      </c>
      <c r="B12" s="35">
        <v>-2</v>
      </c>
      <c r="G12" s="35" t="s">
        <v>98</v>
      </c>
      <c r="H12" s="35" t="str">
        <f>LEFT(H6,1)</f>
        <v>T</v>
      </c>
      <c r="BR12" s="35" t="s">
        <v>99</v>
      </c>
      <c r="BS12" s="35">
        <v>300</v>
      </c>
      <c r="BT12" s="35">
        <v>300</v>
      </c>
    </row>
    <row r="13" spans="1:72" ht="9.75">
      <c r="A13" s="35" t="s">
        <v>100</v>
      </c>
      <c r="B13" s="35">
        <v>49</v>
      </c>
      <c r="G13" s="35" t="s">
        <v>101</v>
      </c>
      <c r="H13" s="35" t="str">
        <f>RIGHT(H6,1)</f>
        <v>P</v>
      </c>
      <c r="BR13" s="35" t="s">
        <v>102</v>
      </c>
      <c r="BS13" s="35">
        <v>400</v>
      </c>
      <c r="BT13" s="35">
        <v>300</v>
      </c>
    </row>
    <row r="14" spans="1:72" ht="9.75">
      <c r="A14" s="35" t="s">
        <v>103</v>
      </c>
      <c r="B14" s="35">
        <f>3.14159265358979/180</f>
        <v>0.017453292519943278</v>
      </c>
      <c r="BR14" s="35" t="s">
        <v>74</v>
      </c>
      <c r="BS14" s="35">
        <v>0</v>
      </c>
      <c r="BT14" s="35">
        <v>200</v>
      </c>
    </row>
    <row r="15" spans="7:72" ht="9.75">
      <c r="G15" s="35" t="s">
        <v>104</v>
      </c>
      <c r="H15" s="35">
        <f>VLOOKUP(H12,$BR$4:$BT$28,2,FALSE)</f>
        <v>300</v>
      </c>
      <c r="BR15" s="35" t="s">
        <v>105</v>
      </c>
      <c r="BS15" s="35">
        <v>100</v>
      </c>
      <c r="BT15" s="35">
        <v>200</v>
      </c>
    </row>
    <row r="16" spans="1:72" ht="9.75">
      <c r="A16" s="35" t="s">
        <v>106</v>
      </c>
      <c r="B16" s="35">
        <f>MajorAxis*MajorAxis</f>
        <v>40673314869999.05</v>
      </c>
      <c r="G16" s="35" t="s">
        <v>107</v>
      </c>
      <c r="H16" s="35">
        <f>VLOOKUP(H12,$BR$4:$BT$28,3,FALSE)</f>
        <v>100</v>
      </c>
      <c r="BR16" s="35" t="s">
        <v>76</v>
      </c>
      <c r="BS16" s="35">
        <v>200</v>
      </c>
      <c r="BT16" s="35">
        <v>200</v>
      </c>
    </row>
    <row r="17" spans="1:72" ht="9.75">
      <c r="A17" s="35" t="s">
        <v>108</v>
      </c>
      <c r="B17" s="35">
        <f>MinorAxis*MinorAxis</f>
        <v>40402001905922.75</v>
      </c>
      <c r="BR17" s="35" t="s">
        <v>109</v>
      </c>
      <c r="BS17" s="35">
        <v>300</v>
      </c>
      <c r="BT17" s="35">
        <v>200</v>
      </c>
    </row>
    <row r="18" spans="1:72" ht="9.75">
      <c r="A18" s="35" t="s">
        <v>110</v>
      </c>
      <c r="B18" s="35">
        <f>(majsc-minsc)/majsc</f>
        <v>0.006670539761597337</v>
      </c>
      <c r="G18" s="35" t="s">
        <v>111</v>
      </c>
      <c r="H18" s="35">
        <f>VLOOKUP(H13,$BR$4:$BT$28,2,FALSE)</f>
        <v>400</v>
      </c>
      <c r="BR18" s="35" t="s">
        <v>112</v>
      </c>
      <c r="BS18" s="35">
        <v>400</v>
      </c>
      <c r="BT18" s="35">
        <v>200</v>
      </c>
    </row>
    <row r="19" spans="1:72" ht="9.75">
      <c r="A19" s="35" t="s">
        <v>113</v>
      </c>
      <c r="B19" s="35">
        <f>eccsc*eccsc</f>
        <v>4.449610071105106E-05</v>
      </c>
      <c r="G19" s="35" t="s">
        <v>114</v>
      </c>
      <c r="H19" s="35">
        <f>VLOOKUP(H13,$BR$4:$BT$28,3,FALSE)</f>
        <v>200</v>
      </c>
      <c r="BR19" s="35" t="s">
        <v>115</v>
      </c>
      <c r="BS19" s="35">
        <v>0</v>
      </c>
      <c r="BT19" s="35">
        <v>100</v>
      </c>
    </row>
    <row r="20" spans="1:72" ht="9.75">
      <c r="A20" s="35" t="s">
        <v>116</v>
      </c>
      <c r="B20" s="35">
        <f>ecc4*eccsc</f>
        <v>2.968130090291056E-07</v>
      </c>
      <c r="BR20" s="35" t="s">
        <v>117</v>
      </c>
      <c r="BS20" s="35">
        <v>100</v>
      </c>
      <c r="BT20" s="35">
        <v>100</v>
      </c>
    </row>
    <row r="21" spans="1:72" ht="9.75">
      <c r="A21" s="35" t="s">
        <v>118</v>
      </c>
      <c r="B21" s="35">
        <f>(majsc-minsc)/minsc</f>
        <v>0.006715334668516107</v>
      </c>
      <c r="BR21" s="35" t="s">
        <v>119</v>
      </c>
      <c r="BS21" s="35">
        <v>200</v>
      </c>
      <c r="BT21" s="35">
        <v>100</v>
      </c>
    </row>
    <row r="22" spans="7:72" ht="9.75">
      <c r="G22" s="35" t="s">
        <v>120</v>
      </c>
      <c r="H22" s="35">
        <f>5000*H15</f>
        <v>1500000</v>
      </c>
      <c r="BR22" s="35" t="s">
        <v>121</v>
      </c>
      <c r="BS22" s="35">
        <v>300</v>
      </c>
      <c r="BT22" s="35">
        <v>100</v>
      </c>
    </row>
    <row r="23" spans="1:72" ht="9.75">
      <c r="A23" s="35" t="s">
        <v>122</v>
      </c>
      <c r="B23" s="35">
        <f>1+0.75*eccsc+0.703125*ecc4+0.068359375*ecc6</f>
        <v>1.0050342114319621</v>
      </c>
      <c r="G23" s="35" t="s">
        <v>123</v>
      </c>
      <c r="H23" s="35">
        <f>5000*H16</f>
        <v>500000</v>
      </c>
      <c r="BR23" s="35" t="s">
        <v>124</v>
      </c>
      <c r="BS23" s="35">
        <v>400</v>
      </c>
      <c r="BT23" s="35">
        <v>100</v>
      </c>
    </row>
    <row r="24" spans="1:72" ht="9.75">
      <c r="A24" s="35" t="s">
        <v>125</v>
      </c>
      <c r="B24" s="35">
        <f>0.75*eccsc+0.9375*ecc4+1.025390625*ecc6</f>
        <v>0.005044924264891449</v>
      </c>
      <c r="BR24" s="35" t="s">
        <v>126</v>
      </c>
      <c r="BS24" s="35">
        <v>0</v>
      </c>
      <c r="BT24" s="35">
        <v>0</v>
      </c>
    </row>
    <row r="25" spans="1:72" ht="9.75">
      <c r="A25" s="35" t="s">
        <v>127</v>
      </c>
      <c r="B25" s="35">
        <f>0.234375*ecc4+0.41015625*ecc6</f>
        <v>1.0550513314887187E-05</v>
      </c>
      <c r="G25" s="35" t="s">
        <v>120</v>
      </c>
      <c r="H25" s="35">
        <f>H22+H18*1000</f>
        <v>1900000</v>
      </c>
      <c r="BR25" s="35" t="s">
        <v>128</v>
      </c>
      <c r="BS25" s="35">
        <v>100</v>
      </c>
      <c r="BT25" s="35">
        <v>0</v>
      </c>
    </row>
    <row r="26" spans="7:72" ht="9.75">
      <c r="G26" s="35" t="s">
        <v>123</v>
      </c>
      <c r="H26" s="35">
        <f>H23+H19*1000</f>
        <v>700000</v>
      </c>
      <c r="BR26" s="35" t="s">
        <v>81</v>
      </c>
      <c r="BS26" s="35">
        <v>200</v>
      </c>
      <c r="BT26" s="35">
        <v>0</v>
      </c>
    </row>
    <row r="27" spans="1:72" ht="9.75">
      <c r="A27" s="35" t="s">
        <v>129</v>
      </c>
      <c r="B27" s="35">
        <v>5527063</v>
      </c>
      <c r="G27" s="35" t="s">
        <v>120</v>
      </c>
      <c r="H27" s="38">
        <f>H25+H9-1000000</f>
        <v>943352</v>
      </c>
      <c r="BR27" s="35" t="s">
        <v>82</v>
      </c>
      <c r="BS27" s="35">
        <v>300</v>
      </c>
      <c r="BT27" s="35">
        <v>0</v>
      </c>
    </row>
    <row r="28" spans="1:72" ht="9.75">
      <c r="A28" s="35" t="s">
        <v>130</v>
      </c>
      <c r="B28" s="35">
        <v>-400000</v>
      </c>
      <c r="G28" s="35" t="s">
        <v>123</v>
      </c>
      <c r="H28" s="38">
        <f>H26+H10-500000</f>
        <v>263219</v>
      </c>
      <c r="BR28" s="35" t="s">
        <v>131</v>
      </c>
      <c r="BS28" s="35">
        <v>400</v>
      </c>
      <c r="BT28" s="35">
        <v>0</v>
      </c>
    </row>
    <row r="29" spans="1:2" ht="9.75">
      <c r="A29" s="35" t="s">
        <v>132</v>
      </c>
      <c r="B29" s="35">
        <f>1/298.257223563</f>
        <v>0.0033528106647474805</v>
      </c>
    </row>
    <row r="30" ht="9.75">
      <c r="G30" s="35" t="s">
        <v>133</v>
      </c>
    </row>
    <row r="31" spans="1:2" ht="9.75">
      <c r="A31" s="35" t="s">
        <v>73</v>
      </c>
      <c r="B31" s="46">
        <f>B2</f>
        <v>51.50475</v>
      </c>
    </row>
    <row r="32" spans="1:67" ht="9.75">
      <c r="A32" s="35" t="s">
        <v>79</v>
      </c>
      <c r="B32" s="46">
        <f>B3</f>
        <v>4.895917</v>
      </c>
      <c r="G32" s="35" t="s">
        <v>102</v>
      </c>
      <c r="H32" s="35">
        <f>1/(rad*MajorAxis)</f>
        <v>8.98396079434008E-06</v>
      </c>
      <c r="J32" s="35" t="s">
        <v>134</v>
      </c>
      <c r="M32" s="35" t="s">
        <v>135</v>
      </c>
      <c r="P32" s="35" t="s">
        <v>136</v>
      </c>
      <c r="S32" s="35" t="s">
        <v>137</v>
      </c>
      <c r="V32" s="35" t="s">
        <v>138</v>
      </c>
      <c r="Y32" s="35" t="s">
        <v>139</v>
      </c>
      <c r="AB32" s="35" t="s">
        <v>140</v>
      </c>
      <c r="AE32" s="35" t="s">
        <v>141</v>
      </c>
      <c r="AH32" s="35" t="s">
        <v>142</v>
      </c>
      <c r="AK32" s="35" t="s">
        <v>143</v>
      </c>
      <c r="AN32" s="35" t="s">
        <v>144</v>
      </c>
      <c r="AQ32" s="35" t="s">
        <v>145</v>
      </c>
      <c r="AT32" s="35" t="s">
        <v>146</v>
      </c>
      <c r="AW32" s="35" t="s">
        <v>147</v>
      </c>
      <c r="AZ32" s="35" t="s">
        <v>148</v>
      </c>
      <c r="BC32" s="35" t="s">
        <v>149</v>
      </c>
      <c r="BF32" s="35" t="s">
        <v>150</v>
      </c>
      <c r="BI32" s="35" t="s">
        <v>151</v>
      </c>
      <c r="BL32" s="35" t="s">
        <v>152</v>
      </c>
      <c r="BO32" s="35" t="s">
        <v>153</v>
      </c>
    </row>
    <row r="33" spans="7:68" ht="9.75">
      <c r="G33" s="35" t="s">
        <v>154</v>
      </c>
      <c r="H33" s="35">
        <v>52</v>
      </c>
      <c r="J33" s="35" t="s">
        <v>155</v>
      </c>
      <c r="K33" s="35">
        <f>rad*(H34-LongArrayOrigin)</f>
        <v>-0.017453292519943278</v>
      </c>
      <c r="M33" s="35" t="s">
        <v>155</v>
      </c>
      <c r="N33" s="35">
        <f>rad*(K63-LongArrayOrigin)</f>
        <v>0.13933288972281924</v>
      </c>
      <c r="P33" s="35" t="s">
        <v>155</v>
      </c>
      <c r="Q33" s="35">
        <f>rad*(N63-LongArrayOrigin)</f>
        <v>0.13908044705783518</v>
      </c>
      <c r="S33" s="35" t="s">
        <v>155</v>
      </c>
      <c r="T33" s="35">
        <f>rad*(Q63-LongArrayOrigin)</f>
        <v>0.13824907984561993</v>
      </c>
      <c r="V33" s="35" t="s">
        <v>155</v>
      </c>
      <c r="W33" s="35">
        <f>rad*(T63-LongArrayOrigin)</f>
        <v>0.13824884276054833</v>
      </c>
      <c r="Y33" s="35" t="s">
        <v>155</v>
      </c>
      <c r="Z33" s="35">
        <f>rad*(W63-LongArrayOrigin)</f>
        <v>0.13825883864474026</v>
      </c>
      <c r="AB33" s="35" t="s">
        <v>155</v>
      </c>
      <c r="AC33" s="35">
        <f>rad*(Z63-LongArrayOrigin)</f>
        <v>0.1382588733405404</v>
      </c>
      <c r="AE33" s="35" t="s">
        <v>155</v>
      </c>
      <c r="AF33" s="35">
        <f>rad*(AC63-LongArrayOrigin)</f>
        <v>0.1382587617424173</v>
      </c>
      <c r="AH33" s="35" t="s">
        <v>155</v>
      </c>
      <c r="AI33" s="35">
        <f>rad*(AF63-LongArrayOrigin)</f>
        <v>0.1382587616668458</v>
      </c>
      <c r="AK33" s="35" t="s">
        <v>155</v>
      </c>
      <c r="AL33" s="35">
        <f>rad*(AI63-LongArrayOrigin)</f>
        <v>0.13825876166679468</v>
      </c>
      <c r="AN33" s="35" t="s">
        <v>155</v>
      </c>
      <c r="AO33" s="35">
        <f>rad*(AL63-LongArrayOrigin)</f>
        <v>0.13825876166679468</v>
      </c>
      <c r="AQ33" s="35" t="s">
        <v>155</v>
      </c>
      <c r="AR33" s="35">
        <f>rad*(AO63-LongArrayOrigin)</f>
        <v>0.13825876166679468</v>
      </c>
      <c r="AT33" s="35" t="s">
        <v>155</v>
      </c>
      <c r="AU33" s="35">
        <f>rad*(AR63-LongArrayOrigin)</f>
        <v>0.13825876166679468</v>
      </c>
      <c r="AW33" s="35" t="s">
        <v>155</v>
      </c>
      <c r="AX33" s="35">
        <f>rad*(AU63-LongArrayOrigin)</f>
        <v>0.13825876166679468</v>
      </c>
      <c r="AZ33" s="35" t="s">
        <v>155</v>
      </c>
      <c r="BA33" s="35">
        <f>rad*(AX63-LongArrayOrigin)</f>
        <v>0.13825876166679468</v>
      </c>
      <c r="BC33" s="35" t="s">
        <v>155</v>
      </c>
      <c r="BD33" s="35">
        <f>rad*(BA63-LongArrayOrigin)</f>
        <v>0.13825876166679468</v>
      </c>
      <c r="BF33" s="35" t="s">
        <v>155</v>
      </c>
      <c r="BG33" s="35">
        <f>rad*(BD63-LongArrayOrigin)</f>
        <v>0.13825876166679468</v>
      </c>
      <c r="BI33" s="35" t="s">
        <v>155</v>
      </c>
      <c r="BJ33" s="35">
        <f>rad*(BG63-LongArrayOrigin)</f>
        <v>0.13825876166679468</v>
      </c>
      <c r="BL33" s="35" t="s">
        <v>155</v>
      </c>
      <c r="BM33" s="35">
        <f>rad*(BJ63-LongArrayOrigin)</f>
        <v>0.13825876166679468</v>
      </c>
      <c r="BO33" s="35" t="s">
        <v>155</v>
      </c>
      <c r="BP33" s="35">
        <f>rad*(BM63-LongArrayOrigin)</f>
        <v>0.13825876166679468</v>
      </c>
    </row>
    <row r="34" spans="7:68" ht="9.75">
      <c r="G34" s="35" t="s">
        <v>156</v>
      </c>
      <c r="H34" s="35">
        <v>-3</v>
      </c>
      <c r="J34" s="35" t="s">
        <v>157</v>
      </c>
      <c r="K34" s="35">
        <f>rad*H33</f>
        <v>0.9075712110370504</v>
      </c>
      <c r="M34" s="35" t="s">
        <v>157</v>
      </c>
      <c r="N34" s="35">
        <f>rad*K62</f>
        <v>0.912148786592611</v>
      </c>
      <c r="P34" s="35" t="s">
        <v>157</v>
      </c>
      <c r="Q34" s="35">
        <f>rad*N62</f>
        <v>0.9075109651922699</v>
      </c>
      <c r="S34" s="35" t="s">
        <v>157</v>
      </c>
      <c r="T34" s="35">
        <f>rad*Q62</f>
        <v>0.9075128467886188</v>
      </c>
      <c r="V34" s="35" t="s">
        <v>157</v>
      </c>
      <c r="W34" s="35">
        <f>rad*T62</f>
        <v>0.9075691378793862</v>
      </c>
      <c r="Y34" s="35" t="s">
        <v>157</v>
      </c>
      <c r="Z34" s="35">
        <f>rad*W62</f>
        <v>0.907569294679082</v>
      </c>
      <c r="AB34" s="35" t="s">
        <v>157</v>
      </c>
      <c r="AC34" s="35">
        <f>rad*Z62</f>
        <v>0.9075686674802991</v>
      </c>
      <c r="AE34" s="35" t="s">
        <v>157</v>
      </c>
      <c r="AF34" s="35">
        <f>rad*AC62</f>
        <v>0.9075686674802991</v>
      </c>
      <c r="AH34" s="35" t="s">
        <v>157</v>
      </c>
      <c r="AI34" s="35">
        <f>rad*AF62</f>
        <v>0.9075686674802991</v>
      </c>
      <c r="AK34" s="35" t="s">
        <v>157</v>
      </c>
      <c r="AL34" s="35">
        <f>rad*AI62</f>
        <v>0.9075686674802991</v>
      </c>
      <c r="AN34" s="35" t="s">
        <v>157</v>
      </c>
      <c r="AO34" s="35">
        <f>rad*AL62</f>
        <v>0.9075686674802991</v>
      </c>
      <c r="AQ34" s="35" t="s">
        <v>157</v>
      </c>
      <c r="AR34" s="35">
        <f>rad*AO62</f>
        <v>0.9075686674802991</v>
      </c>
      <c r="AT34" s="35" t="s">
        <v>157</v>
      </c>
      <c r="AU34" s="35">
        <f>rad*AR62</f>
        <v>0.9075686674802991</v>
      </c>
      <c r="AW34" s="35" t="s">
        <v>157</v>
      </c>
      <c r="AX34" s="35">
        <f>rad*AU62</f>
        <v>0.9075686674802991</v>
      </c>
      <c r="AZ34" s="35" t="s">
        <v>157</v>
      </c>
      <c r="BA34" s="35">
        <f>rad*AX62</f>
        <v>0.9075686674802991</v>
      </c>
      <c r="BC34" s="35" t="s">
        <v>157</v>
      </c>
      <c r="BD34" s="35">
        <f>rad*BA62</f>
        <v>0.9075686674802991</v>
      </c>
      <c r="BF34" s="35" t="s">
        <v>157</v>
      </c>
      <c r="BG34" s="35">
        <f>rad*BD62</f>
        <v>0.9075686674802991</v>
      </c>
      <c r="BI34" s="35" t="s">
        <v>157</v>
      </c>
      <c r="BJ34" s="35">
        <f>rad*BG62</f>
        <v>0.9075686674802991</v>
      </c>
      <c r="BL34" s="35" t="s">
        <v>157</v>
      </c>
      <c r="BM34" s="35">
        <f>rad*BJ62</f>
        <v>0.9075686674802991</v>
      </c>
      <c r="BO34" s="35" t="s">
        <v>157</v>
      </c>
      <c r="BP34" s="35">
        <f>rad*BM62</f>
        <v>0.9075686674802991</v>
      </c>
    </row>
    <row r="35" spans="10:68" ht="9.75">
      <c r="J35" s="35" t="s">
        <v>158</v>
      </c>
      <c r="K35" s="35">
        <f>TAN(K34)</f>
        <v>1.279941632193076</v>
      </c>
      <c r="M35" s="35" t="s">
        <v>158</v>
      </c>
      <c r="N35" s="35">
        <f>TAN(N34)</f>
        <v>1.2920896842123677</v>
      </c>
      <c r="P35" s="35" t="s">
        <v>158</v>
      </c>
      <c r="Q35" s="35">
        <f>TAN(Q34)</f>
        <v>1.2797827008132234</v>
      </c>
      <c r="S35" s="35" t="s">
        <v>158</v>
      </c>
      <c r="T35" s="35">
        <f>TAN(T34)</f>
        <v>1.2797876641823653</v>
      </c>
      <c r="V35" s="35" t="s">
        <v>158</v>
      </c>
      <c r="W35" s="35">
        <f>TAN(W34)</f>
        <v>1.2799361626981758</v>
      </c>
      <c r="Y35" s="35" t="s">
        <v>158</v>
      </c>
      <c r="Z35" s="35">
        <f>TAN(Z34)</f>
        <v>1.279936576372952</v>
      </c>
      <c r="AB35" s="35" t="s">
        <v>158</v>
      </c>
      <c r="AC35" s="35">
        <f>TAN(AC34)</f>
        <v>1.279934921674844</v>
      </c>
      <c r="AE35" s="35" t="s">
        <v>158</v>
      </c>
      <c r="AF35" s="35">
        <f>TAN(AF34)</f>
        <v>1.279934921674844</v>
      </c>
      <c r="AH35" s="35" t="s">
        <v>158</v>
      </c>
      <c r="AI35" s="35">
        <f>TAN(AI34)</f>
        <v>1.279934921674844</v>
      </c>
      <c r="AK35" s="35" t="s">
        <v>158</v>
      </c>
      <c r="AL35" s="35">
        <f>TAN(AL34)</f>
        <v>1.279934921674844</v>
      </c>
      <c r="AN35" s="35" t="s">
        <v>158</v>
      </c>
      <c r="AO35" s="35">
        <f>TAN(AO34)</f>
        <v>1.279934921674844</v>
      </c>
      <c r="AQ35" s="35" t="s">
        <v>158</v>
      </c>
      <c r="AR35" s="35">
        <f>TAN(AR34)</f>
        <v>1.279934921674844</v>
      </c>
      <c r="AT35" s="35" t="s">
        <v>158</v>
      </c>
      <c r="AU35" s="35">
        <f>TAN(AU34)</f>
        <v>1.279934921674844</v>
      </c>
      <c r="AW35" s="35" t="s">
        <v>158</v>
      </c>
      <c r="AX35" s="35">
        <f>TAN(AX34)</f>
        <v>1.279934921674844</v>
      </c>
      <c r="AZ35" s="35" t="s">
        <v>158</v>
      </c>
      <c r="BA35" s="35">
        <f>TAN(BA34)</f>
        <v>1.279934921674844</v>
      </c>
      <c r="BC35" s="35" t="s">
        <v>158</v>
      </c>
      <c r="BD35" s="35">
        <f>TAN(BD34)</f>
        <v>1.279934921674844</v>
      </c>
      <c r="BF35" s="35" t="s">
        <v>158</v>
      </c>
      <c r="BG35" s="35">
        <f>TAN(BG34)</f>
        <v>1.279934921674844</v>
      </c>
      <c r="BI35" s="35" t="s">
        <v>158</v>
      </c>
      <c r="BJ35" s="35">
        <f>TAN(BJ34)</f>
        <v>1.279934921674844</v>
      </c>
      <c r="BL35" s="35" t="s">
        <v>158</v>
      </c>
      <c r="BM35" s="35">
        <f>TAN(BM34)</f>
        <v>1.279934921674844</v>
      </c>
      <c r="BO35" s="35" t="s">
        <v>158</v>
      </c>
      <c r="BP35" s="35">
        <f>TAN(BP34)</f>
        <v>1.279934921674844</v>
      </c>
    </row>
    <row r="36" spans="1:68" ht="9.75">
      <c r="A36" s="35" t="s">
        <v>159</v>
      </c>
      <c r="G36" s="35" t="s">
        <v>160</v>
      </c>
      <c r="J36" s="35" t="s">
        <v>161</v>
      </c>
      <c r="K36" s="35">
        <f>K35*K35</f>
        <v>1.6382505818210757</v>
      </c>
      <c r="M36" s="35" t="s">
        <v>161</v>
      </c>
      <c r="N36" s="35">
        <f>N35*N35</f>
        <v>1.669495752048016</v>
      </c>
      <c r="P36" s="35" t="s">
        <v>161</v>
      </c>
      <c r="Q36" s="35">
        <f>Q35*Q35</f>
        <v>1.6378437613007886</v>
      </c>
      <c r="S36" s="35" t="s">
        <v>161</v>
      </c>
      <c r="T36" s="35">
        <f>T35*T35</f>
        <v>1.6378564653933547</v>
      </c>
      <c r="V36" s="35" t="s">
        <v>161</v>
      </c>
      <c r="W36" s="35">
        <f>W35*W35</f>
        <v>1.6382365805825312</v>
      </c>
      <c r="Y36" s="35" t="s">
        <v>161</v>
      </c>
      <c r="Z36" s="35">
        <f>Z35*Z35</f>
        <v>1.6382376395373135</v>
      </c>
      <c r="AB36" s="35" t="s">
        <v>161</v>
      </c>
      <c r="AC36" s="35">
        <f>AC35*AC35</f>
        <v>1.6382334037227888</v>
      </c>
      <c r="AE36" s="35" t="s">
        <v>161</v>
      </c>
      <c r="AF36" s="35">
        <f>AF35*AF35</f>
        <v>1.6382334037227888</v>
      </c>
      <c r="AH36" s="35" t="s">
        <v>161</v>
      </c>
      <c r="AI36" s="35">
        <f>AI35*AI35</f>
        <v>1.6382334037227888</v>
      </c>
      <c r="AK36" s="35" t="s">
        <v>161</v>
      </c>
      <c r="AL36" s="35">
        <f>AL35*AL35</f>
        <v>1.6382334037227888</v>
      </c>
      <c r="AN36" s="35" t="s">
        <v>161</v>
      </c>
      <c r="AO36" s="35">
        <f>AO35*AO35</f>
        <v>1.6382334037227888</v>
      </c>
      <c r="AQ36" s="35" t="s">
        <v>161</v>
      </c>
      <c r="AR36" s="35">
        <f>AR35*AR35</f>
        <v>1.6382334037227888</v>
      </c>
      <c r="AT36" s="35" t="s">
        <v>161</v>
      </c>
      <c r="AU36" s="35">
        <f>AU35*AU35</f>
        <v>1.6382334037227888</v>
      </c>
      <c r="AW36" s="35" t="s">
        <v>161</v>
      </c>
      <c r="AX36" s="35">
        <f>AX35*AX35</f>
        <v>1.6382334037227888</v>
      </c>
      <c r="AZ36" s="35" t="s">
        <v>161</v>
      </c>
      <c r="BA36" s="35">
        <f>BA35*BA35</f>
        <v>1.6382334037227888</v>
      </c>
      <c r="BC36" s="35" t="s">
        <v>161</v>
      </c>
      <c r="BD36" s="35">
        <f>BD35*BD35</f>
        <v>1.6382334037227888</v>
      </c>
      <c r="BF36" s="35" t="s">
        <v>161</v>
      </c>
      <c r="BG36" s="35">
        <f>BG35*BG35</f>
        <v>1.6382334037227888</v>
      </c>
      <c r="BI36" s="35" t="s">
        <v>161</v>
      </c>
      <c r="BJ36" s="35">
        <f>BJ35*BJ35</f>
        <v>1.6382334037227888</v>
      </c>
      <c r="BL36" s="35" t="s">
        <v>161</v>
      </c>
      <c r="BM36" s="35">
        <f>BM35*BM35</f>
        <v>1.6382334037227888</v>
      </c>
      <c r="BO36" s="35" t="s">
        <v>161</v>
      </c>
      <c r="BP36" s="35">
        <f>BP35*BP35</f>
        <v>1.6382334037227888</v>
      </c>
    </row>
    <row r="37" spans="1:68" ht="9.75">
      <c r="A37" s="35" t="s">
        <v>162</v>
      </c>
      <c r="B37" s="35">
        <v>-1</v>
      </c>
      <c r="J37" s="35" t="s">
        <v>74</v>
      </c>
      <c r="K37" s="35">
        <f>K33*COS(K34)</f>
        <v>-0.010745319822118569</v>
      </c>
      <c r="M37" s="35" t="s">
        <v>74</v>
      </c>
      <c r="N37" s="35">
        <f>N33*COS(N34)</f>
        <v>0.08527839681875869</v>
      </c>
      <c r="P37" s="35" t="s">
        <v>74</v>
      </c>
      <c r="Q37" s="35">
        <f>Q33*COS(Q34)</f>
        <v>0.08563307582627847</v>
      </c>
      <c r="S37" s="35" t="s">
        <v>74</v>
      </c>
      <c r="T37" s="35">
        <f>T33*COS(T34)</f>
        <v>0.08512099061923725</v>
      </c>
      <c r="V37" s="35" t="s">
        <v>74</v>
      </c>
      <c r="W37" s="35">
        <f>W33*COS(W34)</f>
        <v>0.08511471234890201</v>
      </c>
      <c r="Y37" s="35" t="s">
        <v>74</v>
      </c>
      <c r="Z37" s="35">
        <f>Z33*COS(Z34)</f>
        <v>0.08512084936282653</v>
      </c>
      <c r="AB37" s="35" t="s">
        <v>74</v>
      </c>
      <c r="AC37" s="35">
        <f>AC33*COS(AC34)</f>
        <v>0.08512093905660797</v>
      </c>
      <c r="AE37" s="35" t="s">
        <v>74</v>
      </c>
      <c r="AF37" s="35">
        <f>AF33*COS(AF34)</f>
        <v>0.08512087034971919</v>
      </c>
      <c r="AH37" s="35" t="s">
        <v>74</v>
      </c>
      <c r="AI37" s="35">
        <f>AI33*COS(AI34)</f>
        <v>0.08512087030319257</v>
      </c>
      <c r="AK37" s="35" t="s">
        <v>74</v>
      </c>
      <c r="AL37" s="35">
        <f>AL33*COS(AL34)</f>
        <v>0.0851208703031611</v>
      </c>
      <c r="AN37" s="35" t="s">
        <v>74</v>
      </c>
      <c r="AO37" s="35">
        <f>AO33*COS(AO34)</f>
        <v>0.0851208703031611</v>
      </c>
      <c r="AQ37" s="35" t="s">
        <v>74</v>
      </c>
      <c r="AR37" s="35">
        <f>AR33*COS(AR34)</f>
        <v>0.0851208703031611</v>
      </c>
      <c r="AT37" s="35" t="s">
        <v>74</v>
      </c>
      <c r="AU37" s="35">
        <f>AU33*COS(AU34)</f>
        <v>0.0851208703031611</v>
      </c>
      <c r="AW37" s="35" t="s">
        <v>74</v>
      </c>
      <c r="AX37" s="35">
        <f>AX33*COS(AX34)</f>
        <v>0.0851208703031611</v>
      </c>
      <c r="AZ37" s="35" t="s">
        <v>74</v>
      </c>
      <c r="BA37" s="35">
        <f>BA33*COS(BA34)</f>
        <v>0.0851208703031611</v>
      </c>
      <c r="BC37" s="35" t="s">
        <v>74</v>
      </c>
      <c r="BD37" s="35">
        <f>BD33*COS(BD34)</f>
        <v>0.0851208703031611</v>
      </c>
      <c r="BF37" s="35" t="s">
        <v>74</v>
      </c>
      <c r="BG37" s="35">
        <f>BG33*COS(BG34)</f>
        <v>0.0851208703031611</v>
      </c>
      <c r="BI37" s="35" t="s">
        <v>74</v>
      </c>
      <c r="BJ37" s="35">
        <f>BJ33*COS(BJ34)</f>
        <v>0.0851208703031611</v>
      </c>
      <c r="BL37" s="35" t="s">
        <v>74</v>
      </c>
      <c r="BM37" s="35">
        <f>BM33*COS(BM34)</f>
        <v>0.0851208703031611</v>
      </c>
      <c r="BO37" s="35" t="s">
        <v>74</v>
      </c>
      <c r="BP37" s="35">
        <f>BP33*COS(BP34)</f>
        <v>0.0851208703031611</v>
      </c>
    </row>
    <row r="38" spans="1:68" ht="9.75">
      <c r="A38" s="35" t="s">
        <v>163</v>
      </c>
      <c r="B38" s="35">
        <f>Molod_Da*$B$37</f>
        <v>-573.604</v>
      </c>
      <c r="G38" s="35" t="s">
        <v>164</v>
      </c>
      <c r="H38" s="35">
        <f>BP62</f>
        <v>51.99985426493319</v>
      </c>
      <c r="J38" s="35" t="s">
        <v>165</v>
      </c>
      <c r="K38" s="35">
        <f>K37*K37</f>
        <v>0.00011546189807961424</v>
      </c>
      <c r="M38" s="35" t="s">
        <v>165</v>
      </c>
      <c r="N38" s="35">
        <f>N37*N37</f>
        <v>0.0072724049639776725</v>
      </c>
      <c r="P38" s="35" t="s">
        <v>165</v>
      </c>
      <c r="Q38" s="35">
        <f>Q37*Q37</f>
        <v>0.007333023675469157</v>
      </c>
      <c r="S38" s="35" t="s">
        <v>165</v>
      </c>
      <c r="T38" s="35">
        <f>T37*T37</f>
        <v>0.007245583044000276</v>
      </c>
      <c r="V38" s="35" t="s">
        <v>165</v>
      </c>
      <c r="W38" s="35">
        <f>W37*W37</f>
        <v>0.007244514258236333</v>
      </c>
      <c r="Y38" s="35" t="s">
        <v>165</v>
      </c>
      <c r="Z38" s="35">
        <f>Z37*Z37</f>
        <v>0.007245558996249006</v>
      </c>
      <c r="AB38" s="35" t="s">
        <v>165</v>
      </c>
      <c r="AC38" s="35">
        <f>AC37*AC37</f>
        <v>0.007245574265878769</v>
      </c>
      <c r="AE38" s="35" t="s">
        <v>165</v>
      </c>
      <c r="AF38" s="35">
        <f>AF37*AF37</f>
        <v>0.007245562569093702</v>
      </c>
      <c r="AH38" s="35" t="s">
        <v>165</v>
      </c>
      <c r="AI38" s="35">
        <f>AI37*AI37</f>
        <v>0.007245562561172931</v>
      </c>
      <c r="AK38" s="35" t="s">
        <v>165</v>
      </c>
      <c r="AL38" s="35">
        <f>AL37*AL37</f>
        <v>0.007245562561167572</v>
      </c>
      <c r="AN38" s="35" t="s">
        <v>165</v>
      </c>
      <c r="AO38" s="35">
        <f>AO37*AO37</f>
        <v>0.007245562561167572</v>
      </c>
      <c r="AQ38" s="35" t="s">
        <v>165</v>
      </c>
      <c r="AR38" s="35">
        <f>AR37*AR37</f>
        <v>0.007245562561167572</v>
      </c>
      <c r="AT38" s="35" t="s">
        <v>165</v>
      </c>
      <c r="AU38" s="35">
        <f>AU37*AU37</f>
        <v>0.007245562561167572</v>
      </c>
      <c r="AW38" s="35" t="s">
        <v>165</v>
      </c>
      <c r="AX38" s="35">
        <f>AX37*AX37</f>
        <v>0.007245562561167572</v>
      </c>
      <c r="AZ38" s="35" t="s">
        <v>165</v>
      </c>
      <c r="BA38" s="35">
        <f>BA37*BA37</f>
        <v>0.007245562561167572</v>
      </c>
      <c r="BC38" s="35" t="s">
        <v>165</v>
      </c>
      <c r="BD38" s="35">
        <f>BD37*BD37</f>
        <v>0.007245562561167572</v>
      </c>
      <c r="BF38" s="35" t="s">
        <v>165</v>
      </c>
      <c r="BG38" s="35">
        <f>BG37*BG37</f>
        <v>0.007245562561167572</v>
      </c>
      <c r="BI38" s="35" t="s">
        <v>165</v>
      </c>
      <c r="BJ38" s="35">
        <f>BJ37*BJ37</f>
        <v>0.007245562561167572</v>
      </c>
      <c r="BL38" s="35" t="s">
        <v>165</v>
      </c>
      <c r="BM38" s="35">
        <f>BM37*BM37</f>
        <v>0.007245562561167572</v>
      </c>
      <c r="BO38" s="35" t="s">
        <v>165</v>
      </c>
      <c r="BP38" s="35">
        <f>BP37*BP37</f>
        <v>0.007245562561167572</v>
      </c>
    </row>
    <row r="39" spans="1:68" ht="9.75">
      <c r="A39" s="35" t="s">
        <v>166</v>
      </c>
      <c r="B39" s="35">
        <f>Molod_Df*$B$37</f>
        <v>-1.1960023E-05</v>
      </c>
      <c r="G39" s="35" t="s">
        <v>167</v>
      </c>
      <c r="H39" s="35">
        <f>BP63</f>
        <v>5.921643524212474</v>
      </c>
      <c r="J39" s="35" t="s">
        <v>168</v>
      </c>
      <c r="K39" s="35">
        <f>COS(K34)</f>
        <v>0.6156614753256591</v>
      </c>
      <c r="M39" s="35" t="s">
        <v>168</v>
      </c>
      <c r="N39" s="35">
        <f>COS(N34)</f>
        <v>0.6120478588250526</v>
      </c>
      <c r="P39" s="35" t="s">
        <v>168</v>
      </c>
      <c r="Q39" s="35">
        <f>COS(Q34)</f>
        <v>0.6157089485818867</v>
      </c>
      <c r="S39" s="35" t="s">
        <v>168</v>
      </c>
      <c r="T39" s="35">
        <f>COS(T34)</f>
        <v>0.6157074659324331</v>
      </c>
      <c r="V39" s="35" t="s">
        <v>168</v>
      </c>
      <c r="W39" s="35">
        <f>COS(W34)</f>
        <v>0.6156631089948693</v>
      </c>
      <c r="Y39" s="35" t="s">
        <v>168</v>
      </c>
      <c r="Z39" s="35">
        <f>COS(Z34)</f>
        <v>0.6156629854352155</v>
      </c>
      <c r="AB39" s="35" t="s">
        <v>168</v>
      </c>
      <c r="AC39" s="35">
        <f>COS(AC34)</f>
        <v>0.6156634796737399</v>
      </c>
      <c r="AE39" s="35" t="s">
        <v>168</v>
      </c>
      <c r="AF39" s="35">
        <f>COS(AF34)</f>
        <v>0.6156634796737399</v>
      </c>
      <c r="AH39" s="35" t="s">
        <v>168</v>
      </c>
      <c r="AI39" s="35">
        <f>COS(AI34)</f>
        <v>0.6156634796737399</v>
      </c>
      <c r="AK39" s="35" t="s">
        <v>168</v>
      </c>
      <c r="AL39" s="35">
        <f>COS(AL34)</f>
        <v>0.6156634796737399</v>
      </c>
      <c r="AN39" s="35" t="s">
        <v>168</v>
      </c>
      <c r="AO39" s="35">
        <f>COS(AO34)</f>
        <v>0.6156634796737399</v>
      </c>
      <c r="AQ39" s="35" t="s">
        <v>168</v>
      </c>
      <c r="AR39" s="35">
        <f>COS(AR34)</f>
        <v>0.6156634796737399</v>
      </c>
      <c r="AT39" s="35" t="s">
        <v>168</v>
      </c>
      <c r="AU39" s="35">
        <f>COS(AU34)</f>
        <v>0.6156634796737399</v>
      </c>
      <c r="AW39" s="35" t="s">
        <v>168</v>
      </c>
      <c r="AX39" s="35">
        <f>COS(AX34)</f>
        <v>0.6156634796737399</v>
      </c>
      <c r="AZ39" s="35" t="s">
        <v>168</v>
      </c>
      <c r="BA39" s="35">
        <f>COS(BA34)</f>
        <v>0.6156634796737399</v>
      </c>
      <c r="BC39" s="35" t="s">
        <v>168</v>
      </c>
      <c r="BD39" s="35">
        <f>COS(BD34)</f>
        <v>0.6156634796737399</v>
      </c>
      <c r="BF39" s="35" t="s">
        <v>168</v>
      </c>
      <c r="BG39" s="35">
        <f>COS(BG34)</f>
        <v>0.6156634796737399</v>
      </c>
      <c r="BI39" s="35" t="s">
        <v>168</v>
      </c>
      <c r="BJ39" s="35">
        <f>COS(BJ34)</f>
        <v>0.6156634796737399</v>
      </c>
      <c r="BL39" s="35" t="s">
        <v>168</v>
      </c>
      <c r="BM39" s="35">
        <f>COS(BM34)</f>
        <v>0.6156634796737399</v>
      </c>
      <c r="BO39" s="35" t="s">
        <v>168</v>
      </c>
      <c r="BP39" s="35">
        <f>COS(BP34)</f>
        <v>0.6156634796737399</v>
      </c>
    </row>
    <row r="40" spans="1:68" ht="9.75">
      <c r="A40" s="35" t="s">
        <v>169</v>
      </c>
      <c r="B40" s="35">
        <f>Molod_Dx*$B$37</f>
        <v>-375</v>
      </c>
      <c r="J40" s="35" t="s">
        <v>170</v>
      </c>
      <c r="K40" s="35">
        <f>K39*K39*ecc2sq</f>
        <v>0.0025453740879612685</v>
      </c>
      <c r="M40" s="35" t="s">
        <v>170</v>
      </c>
      <c r="N40" s="35">
        <f>N39*N39*ecc2sq</f>
        <v>0.0025155817024110844</v>
      </c>
      <c r="P40" s="35" t="s">
        <v>170</v>
      </c>
      <c r="Q40" s="35">
        <f>Q39*Q39*ecc2sq</f>
        <v>0.0025457666473789192</v>
      </c>
      <c r="S40" s="35" t="s">
        <v>170</v>
      </c>
      <c r="T40" s="35">
        <f>T39*T39*ecc2sq</f>
        <v>0.002545754386797055</v>
      </c>
      <c r="V40" s="35" t="s">
        <v>170</v>
      </c>
      <c r="W40" s="35">
        <f>W39*W39*ecc2sq</f>
        <v>0.0025453875963744464</v>
      </c>
      <c r="Y40" s="35" t="s">
        <v>170</v>
      </c>
      <c r="Z40" s="35">
        <f>Z39*Z39*ecc2sq</f>
        <v>0.0025453865746884814</v>
      </c>
      <c r="AB40" s="35" t="s">
        <v>170</v>
      </c>
      <c r="AC40" s="35">
        <f>AC39*AC39*ecc2sq</f>
        <v>0.002545390661432819</v>
      </c>
      <c r="AE40" s="35" t="s">
        <v>170</v>
      </c>
      <c r="AF40" s="35">
        <f>AF39*AF39*ecc2sq</f>
        <v>0.002545390661432819</v>
      </c>
      <c r="AH40" s="35" t="s">
        <v>170</v>
      </c>
      <c r="AI40" s="35">
        <f>AI39*AI39*ecc2sq</f>
        <v>0.002545390661432819</v>
      </c>
      <c r="AK40" s="35" t="s">
        <v>170</v>
      </c>
      <c r="AL40" s="35">
        <f>AL39*AL39*ecc2sq</f>
        <v>0.002545390661432819</v>
      </c>
      <c r="AN40" s="35" t="s">
        <v>170</v>
      </c>
      <c r="AO40" s="35">
        <f>AO39*AO39*ecc2sq</f>
        <v>0.002545390661432819</v>
      </c>
      <c r="AQ40" s="35" t="s">
        <v>170</v>
      </c>
      <c r="AR40" s="35">
        <f>AR39*AR39*ecc2sq</f>
        <v>0.002545390661432819</v>
      </c>
      <c r="AT40" s="35" t="s">
        <v>170</v>
      </c>
      <c r="AU40" s="35">
        <f>AU39*AU39*ecc2sq</f>
        <v>0.002545390661432819</v>
      </c>
      <c r="AW40" s="35" t="s">
        <v>170</v>
      </c>
      <c r="AX40" s="35">
        <f>AX39*AX39*ecc2sq</f>
        <v>0.002545390661432819</v>
      </c>
      <c r="AZ40" s="35" t="s">
        <v>170</v>
      </c>
      <c r="BA40" s="35">
        <f>BA39*BA39*ecc2sq</f>
        <v>0.002545390661432819</v>
      </c>
      <c r="BC40" s="35" t="s">
        <v>170</v>
      </c>
      <c r="BD40" s="35">
        <f>BD39*BD39*ecc2sq</f>
        <v>0.002545390661432819</v>
      </c>
      <c r="BF40" s="35" t="s">
        <v>170</v>
      </c>
      <c r="BG40" s="35">
        <f>BG39*BG39*ecc2sq</f>
        <v>0.002545390661432819</v>
      </c>
      <c r="BI40" s="35" t="s">
        <v>170</v>
      </c>
      <c r="BJ40" s="35">
        <f>BJ39*BJ39*ecc2sq</f>
        <v>0.002545390661432819</v>
      </c>
      <c r="BL40" s="35" t="s">
        <v>170</v>
      </c>
      <c r="BM40" s="35">
        <f>BM39*BM39*ecc2sq</f>
        <v>0.002545390661432819</v>
      </c>
      <c r="BO40" s="35" t="s">
        <v>170</v>
      </c>
      <c r="BP40" s="35">
        <f>BP39*BP39*ecc2sq</f>
        <v>0.002545390661432819</v>
      </c>
    </row>
    <row r="41" spans="1:68" ht="9.75">
      <c r="A41" s="35" t="s">
        <v>171</v>
      </c>
      <c r="B41" s="35">
        <f>Molod_Dy*$B$37</f>
        <v>111</v>
      </c>
      <c r="G41" s="35" t="s">
        <v>162</v>
      </c>
      <c r="H41" s="35">
        <v>1</v>
      </c>
      <c r="J41" s="35" t="s">
        <v>172</v>
      </c>
      <c r="K41" s="35">
        <f>SIN(K34)</f>
        <v>0.7880107536067213</v>
      </c>
      <c r="M41" s="35" t="s">
        <v>172</v>
      </c>
      <c r="N41" s="35">
        <f>SIN(N34)</f>
        <v>0.790820724632118</v>
      </c>
      <c r="P41" s="35" t="s">
        <v>172</v>
      </c>
      <c r="Q41" s="35">
        <f>SIN(Q34)</f>
        <v>0.7879736611309971</v>
      </c>
      <c r="S41" s="35" t="s">
        <v>172</v>
      </c>
      <c r="T41" s="35">
        <f>SIN(T34)</f>
        <v>0.7879748196453119</v>
      </c>
      <c r="V41" s="35" t="s">
        <v>172</v>
      </c>
      <c r="W41" s="35">
        <f>SIN(W34)</f>
        <v>0.7880094772417218</v>
      </c>
      <c r="Y41" s="35" t="s">
        <v>172</v>
      </c>
      <c r="Z41" s="35">
        <f>SIN(Z34)</f>
        <v>0.7880095737775004</v>
      </c>
      <c r="AB41" s="35" t="s">
        <v>172</v>
      </c>
      <c r="AC41" s="35">
        <f>SIN(AC34)</f>
        <v>0.7880091876342702</v>
      </c>
      <c r="AE41" s="35" t="s">
        <v>172</v>
      </c>
      <c r="AF41" s="35">
        <f>SIN(AF34)</f>
        <v>0.7880091876342702</v>
      </c>
      <c r="AH41" s="35" t="s">
        <v>172</v>
      </c>
      <c r="AI41" s="35">
        <f>SIN(AI34)</f>
        <v>0.7880091876342702</v>
      </c>
      <c r="AK41" s="35" t="s">
        <v>172</v>
      </c>
      <c r="AL41" s="35">
        <f>SIN(AL34)</f>
        <v>0.7880091876342702</v>
      </c>
      <c r="AN41" s="35" t="s">
        <v>172</v>
      </c>
      <c r="AO41" s="35">
        <f>SIN(AO34)</f>
        <v>0.7880091876342702</v>
      </c>
      <c r="AQ41" s="35" t="s">
        <v>172</v>
      </c>
      <c r="AR41" s="35">
        <f>SIN(AR34)</f>
        <v>0.7880091876342702</v>
      </c>
      <c r="AT41" s="35" t="s">
        <v>172</v>
      </c>
      <c r="AU41" s="35">
        <f>SIN(AU34)</f>
        <v>0.7880091876342702</v>
      </c>
      <c r="AW41" s="35" t="s">
        <v>172</v>
      </c>
      <c r="AX41" s="35">
        <f>SIN(AX34)</f>
        <v>0.7880091876342702</v>
      </c>
      <c r="AZ41" s="35" t="s">
        <v>172</v>
      </c>
      <c r="BA41" s="35">
        <f>SIN(BA34)</f>
        <v>0.7880091876342702</v>
      </c>
      <c r="BC41" s="35" t="s">
        <v>172</v>
      </c>
      <c r="BD41" s="35">
        <f>SIN(BD34)</f>
        <v>0.7880091876342702</v>
      </c>
      <c r="BF41" s="35" t="s">
        <v>172</v>
      </c>
      <c r="BG41" s="35">
        <f>SIN(BG34)</f>
        <v>0.7880091876342702</v>
      </c>
      <c r="BI41" s="35" t="s">
        <v>172</v>
      </c>
      <c r="BJ41" s="35">
        <f>SIN(BJ34)</f>
        <v>0.7880091876342702</v>
      </c>
      <c r="BL41" s="35" t="s">
        <v>172</v>
      </c>
      <c r="BM41" s="35">
        <f>SIN(BM34)</f>
        <v>0.7880091876342702</v>
      </c>
      <c r="BO41" s="35" t="s">
        <v>172</v>
      </c>
      <c r="BP41" s="35">
        <f>SIN(BP34)</f>
        <v>0.7880091876342702</v>
      </c>
    </row>
    <row r="42" spans="1:68" ht="9.75">
      <c r="A42" s="35" t="s">
        <v>173</v>
      </c>
      <c r="B42" s="35">
        <f>Molod_Dz*$B$37</f>
        <v>-431</v>
      </c>
      <c r="G42" s="35" t="s">
        <v>163</v>
      </c>
      <c r="H42" s="35">
        <f>Molod_Da</f>
        <v>573.604</v>
      </c>
      <c r="J42" s="35" t="s">
        <v>174</v>
      </c>
      <c r="K42" s="35">
        <f>SQRT(1-eccsc*K41*K41)</f>
        <v>0.9979267785300192</v>
      </c>
      <c r="M42" s="35" t="s">
        <v>174</v>
      </c>
      <c r="N42" s="35">
        <f>SQRT(1-eccsc*N41*N41)</f>
        <v>0.9979119508518997</v>
      </c>
      <c r="P42" s="35" t="s">
        <v>174</v>
      </c>
      <c r="Q42" s="35">
        <f>SQRT(1-eccsc*Q41*Q41)</f>
        <v>0.9979269739054739</v>
      </c>
      <c r="S42" s="35" t="s">
        <v>174</v>
      </c>
      <c r="T42" s="35">
        <f>SQRT(1-eccsc*T41*T41)</f>
        <v>0.9979269678034256</v>
      </c>
      <c r="V42" s="35" t="s">
        <v>174</v>
      </c>
      <c r="W42" s="35">
        <f>SQRT(1-eccsc*W41*W41)</f>
        <v>0.9979267852531101</v>
      </c>
      <c r="Y42" s="35" t="s">
        <v>174</v>
      </c>
      <c r="Z42" s="35">
        <f>SQRT(1-eccsc*Z41*Z41)</f>
        <v>0.9979267847446205</v>
      </c>
      <c r="AB42" s="35" t="s">
        <v>174</v>
      </c>
      <c r="AC42" s="35">
        <f>SQRT(1-eccsc*AC41*AC41)</f>
        <v>0.997926786778579</v>
      </c>
      <c r="AE42" s="35" t="s">
        <v>174</v>
      </c>
      <c r="AF42" s="35">
        <f>SQRT(1-eccsc*AF41*AF41)</f>
        <v>0.997926786778579</v>
      </c>
      <c r="AH42" s="35" t="s">
        <v>174</v>
      </c>
      <c r="AI42" s="35">
        <f>SQRT(1-eccsc*AI41*AI41)</f>
        <v>0.997926786778579</v>
      </c>
      <c r="AK42" s="35" t="s">
        <v>174</v>
      </c>
      <c r="AL42" s="35">
        <f>SQRT(1-eccsc*AL41*AL41)</f>
        <v>0.997926786778579</v>
      </c>
      <c r="AN42" s="35" t="s">
        <v>174</v>
      </c>
      <c r="AO42" s="35">
        <f>SQRT(1-eccsc*AO41*AO41)</f>
        <v>0.997926786778579</v>
      </c>
      <c r="AQ42" s="35" t="s">
        <v>174</v>
      </c>
      <c r="AR42" s="35">
        <f>SQRT(1-eccsc*AR41*AR41)</f>
        <v>0.997926786778579</v>
      </c>
      <c r="AT42" s="35" t="s">
        <v>174</v>
      </c>
      <c r="AU42" s="35">
        <f>SQRT(1-eccsc*AU41*AU41)</f>
        <v>0.997926786778579</v>
      </c>
      <c r="AW42" s="35" t="s">
        <v>174</v>
      </c>
      <c r="AX42" s="35">
        <f>SQRT(1-eccsc*AX41*AX41)</f>
        <v>0.997926786778579</v>
      </c>
      <c r="AZ42" s="35" t="s">
        <v>174</v>
      </c>
      <c r="BA42" s="35">
        <f>SQRT(1-eccsc*BA41*BA41)</f>
        <v>0.997926786778579</v>
      </c>
      <c r="BC42" s="35" t="s">
        <v>174</v>
      </c>
      <c r="BD42" s="35">
        <f>SQRT(1-eccsc*BD41*BD41)</f>
        <v>0.997926786778579</v>
      </c>
      <c r="BF42" s="35" t="s">
        <v>174</v>
      </c>
      <c r="BG42" s="35">
        <f>SQRT(1-eccsc*BG41*BG41)</f>
        <v>0.997926786778579</v>
      </c>
      <c r="BI42" s="35" t="s">
        <v>174</v>
      </c>
      <c r="BJ42" s="35">
        <f>SQRT(1-eccsc*BJ41*BJ41)</f>
        <v>0.997926786778579</v>
      </c>
      <c r="BL42" s="35" t="s">
        <v>174</v>
      </c>
      <c r="BM42" s="35">
        <f>SQRT(1-eccsc*BM41*BM41)</f>
        <v>0.997926786778579</v>
      </c>
      <c r="BO42" s="35" t="s">
        <v>174</v>
      </c>
      <c r="BP42" s="35">
        <f>SQRT(1-eccsc*BP41*BP41)</f>
        <v>0.997926786778579</v>
      </c>
    </row>
    <row r="43" spans="7:68" ht="9.75">
      <c r="G43" s="35" t="s">
        <v>166</v>
      </c>
      <c r="H43" s="35">
        <f>Molod_Df</f>
        <v>1.1960023E-05</v>
      </c>
      <c r="J43" s="35" t="s">
        <v>175</v>
      </c>
      <c r="K43" s="35">
        <f>ROUND(MajorAxis/K42,0)</f>
        <v>6390813</v>
      </c>
      <c r="M43" s="35" t="s">
        <v>175</v>
      </c>
      <c r="N43" s="35">
        <f>ROUND(MajorAxis/N42,0)</f>
        <v>6390908</v>
      </c>
      <c r="P43" s="35" t="s">
        <v>175</v>
      </c>
      <c r="Q43" s="35">
        <f>ROUND(MajorAxis/Q42,0)</f>
        <v>6390812</v>
      </c>
      <c r="S43" s="35" t="s">
        <v>175</v>
      </c>
      <c r="T43" s="35">
        <f>ROUND(MajorAxis/T42,0)</f>
        <v>6390812</v>
      </c>
      <c r="V43" s="35" t="s">
        <v>175</v>
      </c>
      <c r="W43" s="35">
        <f>ROUND(MajorAxis/W42,0)</f>
        <v>6390813</v>
      </c>
      <c r="Y43" s="35" t="s">
        <v>175</v>
      </c>
      <c r="Z43" s="35">
        <f>ROUND(MajorAxis/Z42,0)</f>
        <v>6390813</v>
      </c>
      <c r="AB43" s="35" t="s">
        <v>175</v>
      </c>
      <c r="AC43" s="35">
        <f>ROUND(MajorAxis/AC42,0)</f>
        <v>6390813</v>
      </c>
      <c r="AE43" s="35" t="s">
        <v>175</v>
      </c>
      <c r="AF43" s="35">
        <f>ROUND(MajorAxis/AF42,0)</f>
        <v>6390813</v>
      </c>
      <c r="AH43" s="35" t="s">
        <v>175</v>
      </c>
      <c r="AI43" s="35">
        <f>ROUND(MajorAxis/AI42,0)</f>
        <v>6390813</v>
      </c>
      <c r="AK43" s="35" t="s">
        <v>175</v>
      </c>
      <c r="AL43" s="35">
        <f>ROUND(MajorAxis/AL42,0)</f>
        <v>6390813</v>
      </c>
      <c r="AN43" s="35" t="s">
        <v>175</v>
      </c>
      <c r="AO43" s="35">
        <f>ROUND(MajorAxis/AO42,0)</f>
        <v>6390813</v>
      </c>
      <c r="AQ43" s="35" t="s">
        <v>175</v>
      </c>
      <c r="AR43" s="35">
        <f>ROUND(MajorAxis/AR42,0)</f>
        <v>6390813</v>
      </c>
      <c r="AT43" s="35" t="s">
        <v>175</v>
      </c>
      <c r="AU43" s="35">
        <f>ROUND(MajorAxis/AU42,0)</f>
        <v>6390813</v>
      </c>
      <c r="AW43" s="35" t="s">
        <v>175</v>
      </c>
      <c r="AX43" s="35">
        <f>ROUND(MajorAxis/AX42,0)</f>
        <v>6390813</v>
      </c>
      <c r="AZ43" s="35" t="s">
        <v>175</v>
      </c>
      <c r="BA43" s="35">
        <f>ROUND(MajorAxis/BA42,0)</f>
        <v>6390813</v>
      </c>
      <c r="BC43" s="35" t="s">
        <v>175</v>
      </c>
      <c r="BD43" s="35">
        <f>ROUND(MajorAxis/BD42,0)</f>
        <v>6390813</v>
      </c>
      <c r="BF43" s="35" t="s">
        <v>175</v>
      </c>
      <c r="BG43" s="35">
        <f>ROUND(MajorAxis/BG42,0)</f>
        <v>6390813</v>
      </c>
      <c r="BI43" s="35" t="s">
        <v>175</v>
      </c>
      <c r="BJ43" s="35">
        <f>ROUND(MajorAxis/BJ42,0)</f>
        <v>6390813</v>
      </c>
      <c r="BL43" s="35" t="s">
        <v>175</v>
      </c>
      <c r="BM43" s="35">
        <f>ROUND(MajorAxis/BM42,0)</f>
        <v>6390813</v>
      </c>
      <c r="BO43" s="35" t="s">
        <v>175</v>
      </c>
      <c r="BP43" s="35">
        <f>ROUND(MajorAxis/BP42,0)</f>
        <v>6390813</v>
      </c>
    </row>
    <row r="44" spans="1:8" ht="9.75">
      <c r="A44" s="35" t="s">
        <v>176</v>
      </c>
      <c r="B44" s="35">
        <f>molod_WGS84_a-B38</f>
        <v>6378710.604</v>
      </c>
      <c r="G44" s="35" t="s">
        <v>169</v>
      </c>
      <c r="H44" s="35">
        <f>Molod_Dx</f>
        <v>375</v>
      </c>
    </row>
    <row r="45" spans="1:68" ht="9.75">
      <c r="A45" s="35" t="s">
        <v>177</v>
      </c>
      <c r="B45" s="35">
        <f>molod_WGS84_f-B39</f>
        <v>0.003364771023</v>
      </c>
      <c r="G45" s="35" t="s">
        <v>171</v>
      </c>
      <c r="H45" s="35">
        <f>Molod_Dy</f>
        <v>-111</v>
      </c>
      <c r="J45" s="35" t="s">
        <v>178</v>
      </c>
      <c r="K45" s="35">
        <f>(61-K36*(479-179*K36+K36*K36))/5040</f>
        <v>-0.04914822274150439</v>
      </c>
      <c r="M45" s="35" t="s">
        <v>178</v>
      </c>
      <c r="N45" s="35">
        <f>(61-N36*(479-179*N36+N36*N36))/5040</f>
        <v>-0.04849802277388171</v>
      </c>
      <c r="P45" s="35" t="s">
        <v>178</v>
      </c>
      <c r="Q45" s="35">
        <f>(61-Q36*(479-179*Q36+Q36*Q36))/5040</f>
        <v>-0.049156243828928796</v>
      </c>
      <c r="S45" s="35" t="s">
        <v>178</v>
      </c>
      <c r="T45" s="35">
        <f>(61-T36*(479-179*T36+T36*T36))/5040</f>
        <v>-0.04915599352129802</v>
      </c>
      <c r="V45" s="35" t="s">
        <v>178</v>
      </c>
      <c r="W45" s="35">
        <f>(61-W36*(479-179*W36+W36*W36))/5040</f>
        <v>-0.04914849898726316</v>
      </c>
      <c r="Y45" s="35" t="s">
        <v>178</v>
      </c>
      <c r="Z45" s="35">
        <f>(61-Z36*(479-179*Z36+Z36*Z36))/5040</f>
        <v>-0.049148478094458686</v>
      </c>
      <c r="AB45" s="35" t="s">
        <v>178</v>
      </c>
      <c r="AC45" s="35">
        <f>(61-AC36*(479-179*AC36+AC36*AC36))/5040</f>
        <v>-0.049148561665120924</v>
      </c>
      <c r="AE45" s="35" t="s">
        <v>178</v>
      </c>
      <c r="AF45" s="35">
        <f>(61-AF36*(479-179*AF36+AF36*AF36))/5040</f>
        <v>-0.049148561665120924</v>
      </c>
      <c r="AH45" s="35" t="s">
        <v>178</v>
      </c>
      <c r="AI45" s="35">
        <f>(61-AI36*(479-179*AI36+AI36*AI36))/5040</f>
        <v>-0.049148561665120924</v>
      </c>
      <c r="AK45" s="35" t="s">
        <v>178</v>
      </c>
      <c r="AL45" s="35">
        <f>(61-AL36*(479-179*AL36+AL36*AL36))/5040</f>
        <v>-0.049148561665120924</v>
      </c>
      <c r="AN45" s="35" t="s">
        <v>178</v>
      </c>
      <c r="AO45" s="35">
        <f>(61-AO36*(479-179*AO36+AO36*AO36))/5040</f>
        <v>-0.049148561665120924</v>
      </c>
      <c r="AQ45" s="35" t="s">
        <v>178</v>
      </c>
      <c r="AR45" s="35">
        <f>(61-AR36*(479-179*AR36+AR36*AR36))/5040</f>
        <v>-0.049148561665120924</v>
      </c>
      <c r="AT45" s="35" t="s">
        <v>178</v>
      </c>
      <c r="AU45" s="35">
        <f>(61-AU36*(479-179*AU36+AU36*AU36))/5040</f>
        <v>-0.049148561665120924</v>
      </c>
      <c r="AW45" s="35" t="s">
        <v>178</v>
      </c>
      <c r="AX45" s="35">
        <f>(61-AX36*(479-179*AX36+AX36*AX36))/5040</f>
        <v>-0.049148561665120924</v>
      </c>
      <c r="AZ45" s="35" t="s">
        <v>178</v>
      </c>
      <c r="BA45" s="35">
        <f>(61-BA36*(479-179*BA36+BA36*BA36))/5040</f>
        <v>-0.049148561665120924</v>
      </c>
      <c r="BC45" s="35" t="s">
        <v>178</v>
      </c>
      <c r="BD45" s="35">
        <f>(61-BD36*(479-179*BD36+BD36*BD36))/5040</f>
        <v>-0.049148561665120924</v>
      </c>
      <c r="BF45" s="35" t="s">
        <v>178</v>
      </c>
      <c r="BG45" s="35">
        <f>(61-BG36*(479-179*BG36+BG36*BG36))/5040</f>
        <v>-0.049148561665120924</v>
      </c>
      <c r="BI45" s="35" t="s">
        <v>178</v>
      </c>
      <c r="BJ45" s="35">
        <f>(61-BJ36*(479-179*BJ36+BJ36*BJ36))/5040</f>
        <v>-0.049148561665120924</v>
      </c>
      <c r="BL45" s="35" t="s">
        <v>178</v>
      </c>
      <c r="BM45" s="35">
        <f>(61-BM36*(479-179*BM36+BM36*BM36))/5040</f>
        <v>-0.049148561665120924</v>
      </c>
      <c r="BO45" s="35" t="s">
        <v>178</v>
      </c>
      <c r="BP45" s="35">
        <f>(61-BP36*(479-179*BP36+BP36*BP36))/5040</f>
        <v>-0.049148561665120924</v>
      </c>
    </row>
    <row r="46" spans="1:68" ht="9.75">
      <c r="A46" s="35" t="s">
        <v>179</v>
      </c>
      <c r="B46" s="35">
        <f>2*B45-B45*B45</f>
        <v>0.006718220361962779</v>
      </c>
      <c r="G46" s="35" t="s">
        <v>173</v>
      </c>
      <c r="H46" s="35">
        <f>Molod_Dz</f>
        <v>431</v>
      </c>
      <c r="J46" s="35" t="s">
        <v>180</v>
      </c>
      <c r="K46" s="35">
        <f>(5-K36*(18-K36)+K40*(14-58*K36))/120</f>
        <v>-0.1834238998365249</v>
      </c>
      <c r="M46" s="35" t="s">
        <v>180</v>
      </c>
      <c r="N46" s="35">
        <f>(5-N36*(18-N36)+N40*(14-58*N36))/120</f>
        <v>-0.1872672916579855</v>
      </c>
      <c r="P46" s="35" t="s">
        <v>180</v>
      </c>
      <c r="Q46" s="35">
        <f>(5-Q36*(18-Q36)+Q40*(14-58*Q36))/120</f>
        <v>-0.18337374774287443</v>
      </c>
      <c r="S46" s="35" t="s">
        <v>180</v>
      </c>
      <c r="T46" s="35">
        <f>(5-T36*(18-T36)+T40*(14-58*T36))/120</f>
        <v>-0.18337531392311762</v>
      </c>
      <c r="V46" s="35" t="s">
        <v>180</v>
      </c>
      <c r="W46" s="35">
        <f>(5-W36*(18-W36)+W40*(14-58*W36))/120</f>
        <v>-0.18342217383634823</v>
      </c>
      <c r="Y46" s="35" t="s">
        <v>180</v>
      </c>
      <c r="Z46" s="35">
        <f>(5-Z36*(18-Z36)+Z40*(14-58*Z36))/120</f>
        <v>-0.18342230437892681</v>
      </c>
      <c r="AB46" s="35" t="s">
        <v>180</v>
      </c>
      <c r="AC46" s="35">
        <f>(5-AC36*(18-AC36)+AC40*(14-58*AC36))/120</f>
        <v>-0.18342178220906513</v>
      </c>
      <c r="AE46" s="35" t="s">
        <v>180</v>
      </c>
      <c r="AF46" s="35">
        <f>(5-AF36*(18-AF36)+AF40*(14-58*AF36))/120</f>
        <v>-0.18342178220906513</v>
      </c>
      <c r="AH46" s="35" t="s">
        <v>180</v>
      </c>
      <c r="AI46" s="35">
        <f>(5-AI36*(18-AI36)+AI40*(14-58*AI36))/120</f>
        <v>-0.18342178220906513</v>
      </c>
      <c r="AK46" s="35" t="s">
        <v>180</v>
      </c>
      <c r="AL46" s="35">
        <f>(5-AL36*(18-AL36)+AL40*(14-58*AL36))/120</f>
        <v>-0.18342178220906513</v>
      </c>
      <c r="AN46" s="35" t="s">
        <v>180</v>
      </c>
      <c r="AO46" s="35">
        <f>(5-AO36*(18-AO36)+AO40*(14-58*AO36))/120</f>
        <v>-0.18342178220906513</v>
      </c>
      <c r="AQ46" s="35" t="s">
        <v>180</v>
      </c>
      <c r="AR46" s="35">
        <f>(5-AR36*(18-AR36)+AR40*(14-58*AR36))/120</f>
        <v>-0.18342178220906513</v>
      </c>
      <c r="AT46" s="35" t="s">
        <v>180</v>
      </c>
      <c r="AU46" s="35">
        <f>(5-AU36*(18-AU36)+AU40*(14-58*AU36))/120</f>
        <v>-0.18342178220906513</v>
      </c>
      <c r="AW46" s="35" t="s">
        <v>180</v>
      </c>
      <c r="AX46" s="35">
        <f>(5-AX36*(18-AX36)+AX40*(14-58*AX36))/120</f>
        <v>-0.18342178220906513</v>
      </c>
      <c r="AZ46" s="35" t="s">
        <v>180</v>
      </c>
      <c r="BA46" s="35">
        <f>(5-BA36*(18-BA36)+BA40*(14-58*BA36))/120</f>
        <v>-0.18342178220906513</v>
      </c>
      <c r="BC46" s="35" t="s">
        <v>180</v>
      </c>
      <c r="BD46" s="35">
        <f>(5-BD36*(18-BD36)+BD40*(14-58*BD36))/120</f>
        <v>-0.18342178220906513</v>
      </c>
      <c r="BF46" s="35" t="s">
        <v>180</v>
      </c>
      <c r="BG46" s="35">
        <f>(5-BG36*(18-BG36)+BG40*(14-58*BG36))/120</f>
        <v>-0.18342178220906513</v>
      </c>
      <c r="BI46" s="35" t="s">
        <v>180</v>
      </c>
      <c r="BJ46" s="35">
        <f>(5-BJ36*(18-BJ36)+BJ40*(14-58*BJ36))/120</f>
        <v>-0.18342178220906513</v>
      </c>
      <c r="BL46" s="35" t="s">
        <v>180</v>
      </c>
      <c r="BM46" s="35">
        <f>(5-BM36*(18-BM36)+BM40*(14-58*BM36))/120</f>
        <v>-0.18342178220906513</v>
      </c>
      <c r="BO46" s="35" t="s">
        <v>180</v>
      </c>
      <c r="BP46" s="35">
        <f>(5-BP36*(18-BP36)+BP40*(14-58*BP36))/120</f>
        <v>-0.18342178220906513</v>
      </c>
    </row>
    <row r="47" spans="1:68" ht="9.75">
      <c r="A47" s="35" t="s">
        <v>181</v>
      </c>
      <c r="B47" s="35">
        <f>B31*rad</f>
        <v>0.8989274679165485</v>
      </c>
      <c r="J47" s="35" t="s">
        <v>182</v>
      </c>
      <c r="K47" s="35">
        <f>ROUNDDOWN((1-K36+K40)/6,7)</f>
        <v>-0.1059508</v>
      </c>
      <c r="M47" s="35" t="s">
        <v>182</v>
      </c>
      <c r="N47" s="35">
        <f>ROUNDDOWN((1-N36+N40)/6,7)</f>
        <v>-0.1111633</v>
      </c>
      <c r="P47" s="35" t="s">
        <v>182</v>
      </c>
      <c r="Q47" s="35">
        <f>ROUNDDOWN((1-Q36+Q40)/6,7)</f>
        <v>-0.1058829</v>
      </c>
      <c r="S47" s="35" t="s">
        <v>182</v>
      </c>
      <c r="T47" s="35">
        <f>ROUNDDOWN((1-T36+T40)/6,7)</f>
        <v>-0.1058851</v>
      </c>
      <c r="V47" s="35" t="s">
        <v>182</v>
      </c>
      <c r="W47" s="35">
        <f>ROUNDDOWN((1-W36+W40)/6,7)</f>
        <v>-0.1059485</v>
      </c>
      <c r="Y47" s="35" t="s">
        <v>182</v>
      </c>
      <c r="Z47" s="35">
        <f>ROUNDDOWN((1-Z36+Z40)/6,7)</f>
        <v>-0.1059487</v>
      </c>
      <c r="AB47" s="35" t="s">
        <v>182</v>
      </c>
      <c r="AC47" s="35">
        <f>ROUNDDOWN((1-AC36+AC40)/6,7)</f>
        <v>-0.105948</v>
      </c>
      <c r="AE47" s="35" t="s">
        <v>182</v>
      </c>
      <c r="AF47" s="35">
        <f>ROUNDDOWN((1-AF36+AF40)/6,7)</f>
        <v>-0.105948</v>
      </c>
      <c r="AH47" s="35" t="s">
        <v>182</v>
      </c>
      <c r="AI47" s="35">
        <f>ROUNDDOWN((1-AI36+AI40)/6,7)</f>
        <v>-0.105948</v>
      </c>
      <c r="AK47" s="35" t="s">
        <v>182</v>
      </c>
      <c r="AL47" s="35">
        <f>ROUNDDOWN((1-AL36+AL40)/6,7)</f>
        <v>-0.105948</v>
      </c>
      <c r="AN47" s="35" t="s">
        <v>182</v>
      </c>
      <c r="AO47" s="35">
        <f>ROUNDDOWN((1-AO36+AO40)/6,7)</f>
        <v>-0.105948</v>
      </c>
      <c r="AQ47" s="35" t="s">
        <v>182</v>
      </c>
      <c r="AR47" s="35">
        <f>ROUNDDOWN((1-AR36+AR40)/6,7)</f>
        <v>-0.105948</v>
      </c>
      <c r="AT47" s="35" t="s">
        <v>182</v>
      </c>
      <c r="AU47" s="35">
        <f>ROUNDDOWN((1-AU36+AU40)/6,7)</f>
        <v>-0.105948</v>
      </c>
      <c r="AW47" s="35" t="s">
        <v>182</v>
      </c>
      <c r="AX47" s="35">
        <f>ROUNDDOWN((1-AX36+AX40)/6,7)</f>
        <v>-0.105948</v>
      </c>
      <c r="AZ47" s="35" t="s">
        <v>182</v>
      </c>
      <c r="BA47" s="35">
        <f>ROUNDDOWN((1-BA36+BA40)/6,7)</f>
        <v>-0.105948</v>
      </c>
      <c r="BC47" s="35" t="s">
        <v>182</v>
      </c>
      <c r="BD47" s="35">
        <f>ROUNDDOWN((1-BD36+BD40)/6,7)</f>
        <v>-0.105948</v>
      </c>
      <c r="BF47" s="35" t="s">
        <v>182</v>
      </c>
      <c r="BG47" s="35">
        <f>ROUNDDOWN((1-BG36+BG40)/6,7)</f>
        <v>-0.105948</v>
      </c>
      <c r="BI47" s="35" t="s">
        <v>182</v>
      </c>
      <c r="BJ47" s="35">
        <f>ROUNDDOWN((1-BJ36+BJ40)/6,7)</f>
        <v>-0.105948</v>
      </c>
      <c r="BL47" s="35" t="s">
        <v>182</v>
      </c>
      <c r="BM47" s="35">
        <f>ROUNDDOWN((1-BM36+BM40)/6,7)</f>
        <v>-0.105948</v>
      </c>
      <c r="BO47" s="35" t="s">
        <v>182</v>
      </c>
      <c r="BP47" s="35">
        <f>ROUNDDOWN((1-BP36+BP40)/6,7)</f>
        <v>-0.105948</v>
      </c>
    </row>
    <row r="48" spans="1:68" ht="9.75">
      <c r="A48" s="35" t="s">
        <v>183</v>
      </c>
      <c r="B48" s="35">
        <f>B32*rad</f>
        <v>0.08544987155436314</v>
      </c>
      <c r="G48" s="35" t="s">
        <v>176</v>
      </c>
      <c r="H48" s="35">
        <f>molod_WGS84_a-H42</f>
        <v>6377563.396</v>
      </c>
      <c r="J48" s="35" t="s">
        <v>184</v>
      </c>
      <c r="K48" s="35">
        <f>ROUND(TMScale*K43,0)</f>
        <v>6388265</v>
      </c>
      <c r="M48" s="35" t="s">
        <v>184</v>
      </c>
      <c r="N48" s="35">
        <f>ROUND(TMScale*N43,0)</f>
        <v>6388360</v>
      </c>
      <c r="P48" s="35" t="s">
        <v>184</v>
      </c>
      <c r="Q48" s="35">
        <f>ROUND(TMScale*Q43,0)</f>
        <v>6388264</v>
      </c>
      <c r="S48" s="35" t="s">
        <v>184</v>
      </c>
      <c r="T48" s="35">
        <f>ROUND(TMScale*T43,0)</f>
        <v>6388264</v>
      </c>
      <c r="V48" s="35" t="s">
        <v>184</v>
      </c>
      <c r="W48" s="35">
        <f>ROUND(TMScale*W43,0)</f>
        <v>6388265</v>
      </c>
      <c r="Y48" s="35" t="s">
        <v>184</v>
      </c>
      <c r="Z48" s="35">
        <f>ROUND(TMScale*Z43,0)</f>
        <v>6388265</v>
      </c>
      <c r="AB48" s="35" t="s">
        <v>184</v>
      </c>
      <c r="AC48" s="35">
        <f>ROUND(TMScale*AC43,0)</f>
        <v>6388265</v>
      </c>
      <c r="AE48" s="35" t="s">
        <v>184</v>
      </c>
      <c r="AF48" s="35">
        <f>ROUND(TMScale*AF43,0)</f>
        <v>6388265</v>
      </c>
      <c r="AH48" s="35" t="s">
        <v>184</v>
      </c>
      <c r="AI48" s="35">
        <f>ROUND(TMScale*AI43,0)</f>
        <v>6388265</v>
      </c>
      <c r="AK48" s="35" t="s">
        <v>184</v>
      </c>
      <c r="AL48" s="35">
        <f>ROUND(TMScale*AL43,0)</f>
        <v>6388265</v>
      </c>
      <c r="AN48" s="35" t="s">
        <v>184</v>
      </c>
      <c r="AO48" s="35">
        <f>ROUND(TMScale*AO43,0)</f>
        <v>6388265</v>
      </c>
      <c r="AQ48" s="35" t="s">
        <v>184</v>
      </c>
      <c r="AR48" s="35">
        <f>ROUND(TMScale*AR43,0)</f>
        <v>6388265</v>
      </c>
      <c r="AT48" s="35" t="s">
        <v>184</v>
      </c>
      <c r="AU48" s="35">
        <f>ROUND(TMScale*AU43,0)</f>
        <v>6388265</v>
      </c>
      <c r="AW48" s="35" t="s">
        <v>184</v>
      </c>
      <c r="AX48" s="35">
        <f>ROUND(TMScale*AX43,0)</f>
        <v>6388265</v>
      </c>
      <c r="AZ48" s="35" t="s">
        <v>184</v>
      </c>
      <c r="BA48" s="35">
        <f>ROUND(TMScale*BA43,0)</f>
        <v>6388265</v>
      </c>
      <c r="BC48" s="35" t="s">
        <v>184</v>
      </c>
      <c r="BD48" s="35">
        <f>ROUND(TMScale*BD43,0)</f>
        <v>6388265</v>
      </c>
      <c r="BF48" s="35" t="s">
        <v>184</v>
      </c>
      <c r="BG48" s="35">
        <f>ROUND(TMScale*BG43,0)</f>
        <v>6388265</v>
      </c>
      <c r="BI48" s="35" t="s">
        <v>184</v>
      </c>
      <c r="BJ48" s="35">
        <f>ROUND(TMScale*BJ43,0)</f>
        <v>6388265</v>
      </c>
      <c r="BL48" s="35" t="s">
        <v>184</v>
      </c>
      <c r="BM48" s="35">
        <f>ROUND(TMScale*BM43,0)</f>
        <v>6388265</v>
      </c>
      <c r="BO48" s="35" t="s">
        <v>184</v>
      </c>
      <c r="BP48" s="35">
        <f>ROUND(TMScale*BP43,0)</f>
        <v>6388265</v>
      </c>
    </row>
    <row r="49" spans="7:68" ht="9.75">
      <c r="G49" s="35" t="s">
        <v>177</v>
      </c>
      <c r="H49" s="35">
        <f>molod_WGS84_f-H43</f>
        <v>0.003340850977</v>
      </c>
      <c r="J49" s="35" t="s">
        <v>185</v>
      </c>
      <c r="K49" s="35">
        <f>K48*K37*(1+K38*(K47+K38*(K46+K45*K38)))</f>
        <v>-68643.11062488606</v>
      </c>
      <c r="M49" s="35" t="s">
        <v>185</v>
      </c>
      <c r="N49" s="35">
        <f>N48*N37*(1+N38*(N47+N38*(N46+N45*N38)))</f>
        <v>544343.2723816816</v>
      </c>
      <c r="P49" s="35" t="s">
        <v>185</v>
      </c>
      <c r="Q49" s="35">
        <f>Q48*Q37*(1+Q38*(Q47+Q38*(Q46+Q45*Q38)))</f>
        <v>546616.5407703436</v>
      </c>
      <c r="S49" s="35" t="s">
        <v>185</v>
      </c>
      <c r="T49" s="35">
        <f>T48*T37*(1+T38*(T47+T38*(T46+T45*T38)))</f>
        <v>543352.9308980581</v>
      </c>
      <c r="V49" s="35" t="s">
        <v>185</v>
      </c>
      <c r="W49" s="35">
        <f>W48*W37*(1+W38*(W47+W38*(W46+W45*W38)))</f>
        <v>543312.7518632293</v>
      </c>
      <c r="Y49" s="35" t="s">
        <v>185</v>
      </c>
      <c r="Z49" s="35">
        <f>Z48*Z37*(1+Z38*(Z47+Z38*(Z46+Z45*Z38)))</f>
        <v>543351.8637692698</v>
      </c>
      <c r="AB49" s="35" t="s">
        <v>185</v>
      </c>
      <c r="AC49" s="35">
        <f>AC48*AC37*(1+AC38*(AC47+AC38*(AC46+AC45*AC38)))</f>
        <v>543352.4381825391</v>
      </c>
      <c r="AE49" s="35" t="s">
        <v>185</v>
      </c>
      <c r="AF49" s="35">
        <f>AF48*AF37*(1+AF38*(AF47+AF38*(AF46+AF45*AF38)))</f>
        <v>543352.0002967264</v>
      </c>
      <c r="AH49" s="35" t="s">
        <v>185</v>
      </c>
      <c r="AI49" s="35">
        <f>AI48*AI37*(1+AI38*(AI47+AI38*(AI46+AI45*AI38)))</f>
        <v>543352.0000002008</v>
      </c>
      <c r="AK49" s="35" t="s">
        <v>185</v>
      </c>
      <c r="AL49" s="35">
        <f>AL48*AL37*(1+AL38*(AL47+AL38*(AL46+AL45*AL38)))</f>
        <v>543352.0000000002</v>
      </c>
      <c r="AN49" s="35" t="s">
        <v>185</v>
      </c>
      <c r="AO49" s="35">
        <f>AO48*AO37*(1+AO38*(AO47+AO38*(AO46+AO45*AO38)))</f>
        <v>543352.0000000002</v>
      </c>
      <c r="AQ49" s="35" t="s">
        <v>185</v>
      </c>
      <c r="AR49" s="35">
        <f>AR48*AR37*(1+AR38*(AR47+AR38*(AR46+AR45*AR38)))</f>
        <v>543352.0000000002</v>
      </c>
      <c r="AT49" s="35" t="s">
        <v>185</v>
      </c>
      <c r="AU49" s="35">
        <f>AU48*AU37*(1+AU38*(AU47+AU38*(AU46+AU45*AU38)))</f>
        <v>543352.0000000002</v>
      </c>
      <c r="AW49" s="35" t="s">
        <v>185</v>
      </c>
      <c r="AX49" s="35">
        <f>AX48*AX37*(1+AX38*(AX47+AX38*(AX46+AX45*AX38)))</f>
        <v>543352.0000000002</v>
      </c>
      <c r="AZ49" s="35" t="s">
        <v>185</v>
      </c>
      <c r="BA49" s="35">
        <f>BA48*BA37*(1+BA38*(BA47+BA38*(BA46+BA45*BA38)))</f>
        <v>543352.0000000002</v>
      </c>
      <c r="BC49" s="35" t="s">
        <v>185</v>
      </c>
      <c r="BD49" s="35">
        <f>BD48*BD37*(1+BD38*(BD47+BD38*(BD46+BD45*BD38)))</f>
        <v>543352.0000000002</v>
      </c>
      <c r="BF49" s="35" t="s">
        <v>185</v>
      </c>
      <c r="BG49" s="35">
        <f>BG48*BG37*(1+BG38*(BG47+BG38*(BG46+BG45*BG38)))</f>
        <v>543352.0000000002</v>
      </c>
      <c r="BI49" s="35" t="s">
        <v>185</v>
      </c>
      <c r="BJ49" s="35">
        <f>BJ48*BJ37*(1+BJ38*(BJ47+BJ38*(BJ46+BJ45*BJ38)))</f>
        <v>543352.0000000002</v>
      </c>
      <c r="BL49" s="35" t="s">
        <v>185</v>
      </c>
      <c r="BM49" s="35">
        <f>BM48*BM37*(1+BM38*(BM47+BM38*(BM46+BM45*BM38)))</f>
        <v>543352.0000000002</v>
      </c>
      <c r="BO49" s="35" t="s">
        <v>185</v>
      </c>
      <c r="BP49" s="35">
        <f>BP48*BP37*(1+BP38*(BP47+BP38*(BP46+BP45*BP38)))</f>
        <v>543352.0000000002</v>
      </c>
    </row>
    <row r="50" spans="1:8" ht="9.75">
      <c r="A50" s="35" t="s">
        <v>186</v>
      </c>
      <c r="B50" s="35">
        <f>SIN(B47)</f>
        <v>0.7826597625806916</v>
      </c>
      <c r="G50" s="35" t="s">
        <v>179</v>
      </c>
      <c r="H50" s="35">
        <f>2*H49-H49*H49</f>
        <v>0.006670540668749478</v>
      </c>
    </row>
    <row r="51" spans="1:8" ht="9.75">
      <c r="A51" s="35" t="s">
        <v>187</v>
      </c>
      <c r="B51" s="35">
        <f>SIN(B48)</f>
        <v>0.08534592156793222</v>
      </c>
      <c r="G51" s="35" t="s">
        <v>181</v>
      </c>
      <c r="H51" s="35">
        <f>H38*rad</f>
        <v>0.9075686674802991</v>
      </c>
    </row>
    <row r="52" spans="1:68" ht="9.75">
      <c r="A52" s="35" t="s">
        <v>188</v>
      </c>
      <c r="B52" s="35">
        <f>COS(B47)</f>
        <v>0.622449753825267</v>
      </c>
      <c r="G52" s="35" t="s">
        <v>183</v>
      </c>
      <c r="H52" s="35">
        <f>H39*rad</f>
        <v>0.10335217662690813</v>
      </c>
      <c r="J52" s="35" t="s">
        <v>105</v>
      </c>
      <c r="K52" s="35">
        <f>INT(MajorAxis*(1-eccsc)*(PA*K34-0.5*PB*SIN(2*K34)+0.25*PC*SIN(4*K34)))</f>
        <v>5762914</v>
      </c>
      <c r="M52" s="35" t="s">
        <v>105</v>
      </c>
      <c r="N52" s="35">
        <f>INT(MajorAxis*(1-eccsc)*(PA*N34-0.5*PB*SIN(2*N34)+0.25*PC*SIN(4*N34)))</f>
        <v>5792095</v>
      </c>
      <c r="P52" s="35" t="s">
        <v>105</v>
      </c>
      <c r="Q52" s="35">
        <f>INT(MajorAxis*(1-eccsc)*(PA*Q34-0.5*PB*SIN(2*Q34)+0.25*PC*SIN(4*Q34)))</f>
        <v>5762530</v>
      </c>
      <c r="S52" s="35" t="s">
        <v>105</v>
      </c>
      <c r="T52" s="35">
        <f>INT(MajorAxis*(1-eccsc)*(PA*T34-0.5*PB*SIN(2*T34)+0.25*PC*SIN(4*T34)))</f>
        <v>5762542</v>
      </c>
      <c r="V52" s="35" t="s">
        <v>105</v>
      </c>
      <c r="W52" s="35">
        <f>INT(MajorAxis*(1-eccsc)*(PA*W34-0.5*PB*SIN(2*W34)+0.25*PC*SIN(4*W34)))</f>
        <v>5762901</v>
      </c>
      <c r="Y52" s="35" t="s">
        <v>105</v>
      </c>
      <c r="Z52" s="35">
        <f>INT(MajorAxis*(1-eccsc)*(PA*Z34-0.5*PB*SIN(2*Z34)+0.25*PC*SIN(4*Z34)))</f>
        <v>5762902</v>
      </c>
      <c r="AB52" s="35" t="s">
        <v>105</v>
      </c>
      <c r="AC52" s="35">
        <f>INT(MajorAxis*(1-eccsc)*(PA*AC34-0.5*PB*SIN(2*AC34)+0.25*PC*SIN(4*AC34)))</f>
        <v>5762898</v>
      </c>
      <c r="AE52" s="35" t="s">
        <v>105</v>
      </c>
      <c r="AF52" s="35">
        <f>INT(MajorAxis*(1-eccsc)*(PA*AF34-0.5*PB*SIN(2*AF34)+0.25*PC*SIN(4*AF34)))</f>
        <v>5762898</v>
      </c>
      <c r="AH52" s="35" t="s">
        <v>105</v>
      </c>
      <c r="AI52" s="35">
        <f>INT(MajorAxis*(1-eccsc)*(PA*AI34-0.5*PB*SIN(2*AI34)+0.25*PC*SIN(4*AI34)))</f>
        <v>5762898</v>
      </c>
      <c r="AK52" s="35" t="s">
        <v>105</v>
      </c>
      <c r="AL52" s="35">
        <f>INT(MajorAxis*(1-eccsc)*(PA*AL34-0.5*PB*SIN(2*AL34)+0.25*PC*SIN(4*AL34)))</f>
        <v>5762898</v>
      </c>
      <c r="AN52" s="35" t="s">
        <v>105</v>
      </c>
      <c r="AO52" s="35">
        <f>INT(MajorAxis*(1-eccsc)*(PA*AO34-0.5*PB*SIN(2*AO34)+0.25*PC*SIN(4*AO34)))</f>
        <v>5762898</v>
      </c>
      <c r="AQ52" s="35" t="s">
        <v>105</v>
      </c>
      <c r="AR52" s="35">
        <f>INT(MajorAxis*(1-eccsc)*(PA*AR34-0.5*PB*SIN(2*AR34)+0.25*PC*SIN(4*AR34)))</f>
        <v>5762898</v>
      </c>
      <c r="AT52" s="35" t="s">
        <v>105</v>
      </c>
      <c r="AU52" s="35">
        <f>INT(MajorAxis*(1-eccsc)*(PA*AU34-0.5*PB*SIN(2*AU34)+0.25*PC*SIN(4*AU34)))</f>
        <v>5762898</v>
      </c>
      <c r="AW52" s="35" t="s">
        <v>105</v>
      </c>
      <c r="AX52" s="35">
        <f>INT(MajorAxis*(1-eccsc)*(PA*AX34-0.5*PB*SIN(2*AX34)+0.25*PC*SIN(4*AX34)))</f>
        <v>5762898</v>
      </c>
      <c r="AZ52" s="35" t="s">
        <v>105</v>
      </c>
      <c r="BA52" s="35">
        <f>INT(MajorAxis*(1-eccsc)*(PA*BA34-0.5*PB*SIN(2*BA34)+0.25*PC*SIN(4*BA34)))</f>
        <v>5762898</v>
      </c>
      <c r="BC52" s="35" t="s">
        <v>105</v>
      </c>
      <c r="BD52" s="35">
        <f>INT(MajorAxis*(1-eccsc)*(PA*BD34-0.5*PB*SIN(2*BD34)+0.25*PC*SIN(4*BD34)))</f>
        <v>5762898</v>
      </c>
      <c r="BF52" s="35" t="s">
        <v>105</v>
      </c>
      <c r="BG52" s="35">
        <f>INT(MajorAxis*(1-eccsc)*(PA*BG34-0.5*PB*SIN(2*BG34)+0.25*PC*SIN(4*BG34)))</f>
        <v>5762898</v>
      </c>
      <c r="BI52" s="35" t="s">
        <v>105</v>
      </c>
      <c r="BJ52" s="35">
        <f>INT(MajorAxis*(1-eccsc)*(PA*BJ34-0.5*PB*SIN(2*BJ34)+0.25*PC*SIN(4*BJ34)))</f>
        <v>5762898</v>
      </c>
      <c r="BL52" s="35" t="s">
        <v>105</v>
      </c>
      <c r="BM52" s="35">
        <f>INT(MajorAxis*(1-eccsc)*(PA*BM34-0.5*PB*SIN(2*BM34)+0.25*PC*SIN(4*BM34)))</f>
        <v>5762898</v>
      </c>
      <c r="BO52" s="35" t="s">
        <v>105</v>
      </c>
      <c r="BP52" s="35">
        <f>INT(MajorAxis*(1-eccsc)*(PA*BP34-0.5*PB*SIN(2*BP34)+0.25*PC*SIN(4*BP34)))</f>
        <v>5762898</v>
      </c>
    </row>
    <row r="53" spans="1:68" ht="9.75">
      <c r="A53" s="35" t="s">
        <v>189</v>
      </c>
      <c r="B53" s="35">
        <f>COS(B48)</f>
        <v>0.9963513806241854</v>
      </c>
      <c r="J53" s="35" t="s">
        <v>190</v>
      </c>
      <c r="K53" s="35">
        <f>INT(0.5*K48*K35)</f>
        <v>4088303</v>
      </c>
      <c r="M53" s="35" t="s">
        <v>190</v>
      </c>
      <c r="N53" s="35">
        <f>INT(0.5*N48*N35)</f>
        <v>4127167</v>
      </c>
      <c r="P53" s="35" t="s">
        <v>190</v>
      </c>
      <c r="Q53" s="35">
        <f>INT(0.5*Q48*Q35)</f>
        <v>4087794</v>
      </c>
      <c r="S53" s="35" t="s">
        <v>190</v>
      </c>
      <c r="T53" s="35">
        <f>INT(0.5*T48*T35)</f>
        <v>4087810</v>
      </c>
      <c r="V53" s="35" t="s">
        <v>190</v>
      </c>
      <c r="W53" s="35">
        <f>INT(0.5*W48*W35)</f>
        <v>4088285</v>
      </c>
      <c r="Y53" s="35" t="s">
        <v>190</v>
      </c>
      <c r="Z53" s="35">
        <f>INT(0.5*Z48*Z35)</f>
        <v>4088287</v>
      </c>
      <c r="AB53" s="35" t="s">
        <v>190</v>
      </c>
      <c r="AC53" s="35">
        <f>INT(0.5*AC48*AC35)</f>
        <v>4088281</v>
      </c>
      <c r="AE53" s="35" t="s">
        <v>190</v>
      </c>
      <c r="AF53" s="35">
        <f>INT(0.5*AF48*AF35)</f>
        <v>4088281</v>
      </c>
      <c r="AH53" s="35" t="s">
        <v>190</v>
      </c>
      <c r="AI53" s="35">
        <f>INT(0.5*AI48*AI35)</f>
        <v>4088281</v>
      </c>
      <c r="AK53" s="35" t="s">
        <v>190</v>
      </c>
      <c r="AL53" s="35">
        <f>INT(0.5*AL48*AL35)</f>
        <v>4088281</v>
      </c>
      <c r="AN53" s="35" t="s">
        <v>190</v>
      </c>
      <c r="AO53" s="35">
        <f>INT(0.5*AO48*AO35)</f>
        <v>4088281</v>
      </c>
      <c r="AQ53" s="35" t="s">
        <v>190</v>
      </c>
      <c r="AR53" s="35">
        <f>INT(0.5*AR48*AR35)</f>
        <v>4088281</v>
      </c>
      <c r="AT53" s="35" t="s">
        <v>190</v>
      </c>
      <c r="AU53" s="35">
        <f>INT(0.5*AU48*AU35)</f>
        <v>4088281</v>
      </c>
      <c r="AW53" s="35" t="s">
        <v>190</v>
      </c>
      <c r="AX53" s="35">
        <f>INT(0.5*AX48*AX35)</f>
        <v>4088281</v>
      </c>
      <c r="AZ53" s="35" t="s">
        <v>190</v>
      </c>
      <c r="BA53" s="35">
        <f>INT(0.5*BA48*BA35)</f>
        <v>4088281</v>
      </c>
      <c r="BC53" s="35" t="s">
        <v>190</v>
      </c>
      <c r="BD53" s="35">
        <f>INT(0.5*BD48*BD35)</f>
        <v>4088281</v>
      </c>
      <c r="BF53" s="35" t="s">
        <v>190</v>
      </c>
      <c r="BG53" s="35">
        <f>INT(0.5*BG48*BG35)</f>
        <v>4088281</v>
      </c>
      <c r="BI53" s="35" t="s">
        <v>190</v>
      </c>
      <c r="BJ53" s="35">
        <f>INT(0.5*BJ48*BJ35)</f>
        <v>4088281</v>
      </c>
      <c r="BL53" s="35" t="s">
        <v>190</v>
      </c>
      <c r="BM53" s="35">
        <f>INT(0.5*BM48*BM35)</f>
        <v>4088281</v>
      </c>
      <c r="BO53" s="35" t="s">
        <v>190</v>
      </c>
      <c r="BP53" s="35">
        <f>INT(0.5*BP48*BP35)</f>
        <v>4088281</v>
      </c>
    </row>
    <row r="54" spans="7:68" ht="9.75">
      <c r="G54" s="35" t="s">
        <v>186</v>
      </c>
      <c r="H54" s="35">
        <f>SIN(H51)</f>
        <v>0.7880091876342702</v>
      </c>
      <c r="J54" s="35" t="s">
        <v>191</v>
      </c>
      <c r="K54" s="35">
        <f>ROUND((5-K36+K40*(9+4*K40))/12,7)</f>
        <v>0.282057</v>
      </c>
      <c r="M54" s="35" t="s">
        <v>191</v>
      </c>
      <c r="N54" s="35">
        <f>ROUND((5-N36+N40*(9+4*N40))/12,7)</f>
        <v>0.2794308</v>
      </c>
      <c r="P54" s="35" t="s">
        <v>191</v>
      </c>
      <c r="Q54" s="35">
        <f>ROUND((5-Q36+Q40*(9+4*Q40))/12,7)</f>
        <v>0.2820912</v>
      </c>
      <c r="S54" s="35" t="s">
        <v>191</v>
      </c>
      <c r="T54" s="35">
        <f>ROUND((5-T36+T40*(9+4*T40))/12,7)</f>
        <v>0.2820901</v>
      </c>
      <c r="V54" s="35" t="s">
        <v>191</v>
      </c>
      <c r="W54" s="35">
        <f>ROUND((5-W36+W40*(9+4*W40))/12,7)</f>
        <v>0.2820582</v>
      </c>
      <c r="Y54" s="35" t="s">
        <v>191</v>
      </c>
      <c r="Z54" s="35">
        <f>ROUND((5-Z36+Z40*(9+4*Z40))/12,7)</f>
        <v>0.2820581</v>
      </c>
      <c r="AB54" s="35" t="s">
        <v>191</v>
      </c>
      <c r="AC54" s="35">
        <f>ROUND((5-AC36+AC40*(9+4*AC40))/12,7)</f>
        <v>0.2820584</v>
      </c>
      <c r="AE54" s="35" t="s">
        <v>191</v>
      </c>
      <c r="AF54" s="35">
        <f>ROUND((5-AF36+AF40*(9+4*AF40))/12,7)</f>
        <v>0.2820584</v>
      </c>
      <c r="AH54" s="35" t="s">
        <v>191</v>
      </c>
      <c r="AI54" s="35">
        <f>ROUND((5-AI36+AI40*(9+4*AI40))/12,7)</f>
        <v>0.2820584</v>
      </c>
      <c r="AK54" s="35" t="s">
        <v>191</v>
      </c>
      <c r="AL54" s="35">
        <f>ROUND((5-AL36+AL40*(9+4*AL40))/12,7)</f>
        <v>0.2820584</v>
      </c>
      <c r="AN54" s="35" t="s">
        <v>191</v>
      </c>
      <c r="AO54" s="35">
        <f>ROUND((5-AO36+AO40*(9+4*AO40))/12,7)</f>
        <v>0.2820584</v>
      </c>
      <c r="AQ54" s="35" t="s">
        <v>191</v>
      </c>
      <c r="AR54" s="35">
        <f>ROUND((5-AR36+AR40*(9+4*AR40))/12,7)</f>
        <v>0.2820584</v>
      </c>
      <c r="AT54" s="35" t="s">
        <v>191</v>
      </c>
      <c r="AU54" s="35">
        <f>ROUND((5-AU36+AU40*(9+4*AU40))/12,7)</f>
        <v>0.2820584</v>
      </c>
      <c r="AW54" s="35" t="s">
        <v>191</v>
      </c>
      <c r="AX54" s="35">
        <f>ROUND((5-AX36+AX40*(9+4*AX40))/12,7)</f>
        <v>0.2820584</v>
      </c>
      <c r="AZ54" s="35" t="s">
        <v>191</v>
      </c>
      <c r="BA54" s="35">
        <f>ROUND((5-BA36+BA40*(9+4*BA40))/12,7)</f>
        <v>0.2820584</v>
      </c>
      <c r="BC54" s="35" t="s">
        <v>191</v>
      </c>
      <c r="BD54" s="35">
        <f>ROUND((5-BD36+BD40*(9+4*BD40))/12,7)</f>
        <v>0.2820584</v>
      </c>
      <c r="BF54" s="35" t="s">
        <v>191</v>
      </c>
      <c r="BG54" s="35">
        <f>ROUND((5-BG36+BG40*(9+4*BG40))/12,7)</f>
        <v>0.2820584</v>
      </c>
      <c r="BI54" s="35" t="s">
        <v>191</v>
      </c>
      <c r="BJ54" s="35">
        <f>ROUND((5-BJ36+BJ40*(9+4*BJ40))/12,7)</f>
        <v>0.2820584</v>
      </c>
      <c r="BL54" s="35" t="s">
        <v>191</v>
      </c>
      <c r="BM54" s="35">
        <f>ROUND((5-BM36+BM40*(9+4*BM40))/12,7)</f>
        <v>0.2820584</v>
      </c>
      <c r="BO54" s="35" t="s">
        <v>191</v>
      </c>
      <c r="BP54" s="35">
        <f>ROUND((5-BP36+BP40*(9+4*BP40))/12,7)</f>
        <v>0.2820584</v>
      </c>
    </row>
    <row r="55" spans="1:68" ht="9.75">
      <c r="A55" s="35" t="s">
        <v>192</v>
      </c>
      <c r="B55" s="35">
        <f>B44/SQRT(1-(B46*B50^2))</f>
        <v>6391876.370004617</v>
      </c>
      <c r="G55" s="35" t="s">
        <v>187</v>
      </c>
      <c r="H55" s="35">
        <f>SIN(H52)</f>
        <v>0.10316827918867423</v>
      </c>
      <c r="J55" s="35" t="s">
        <v>193</v>
      </c>
      <c r="K55" s="35">
        <f>(61-K36*(58-K36)+K40*(270-330*K36))/360</f>
        <v>-0.08895417990171903</v>
      </c>
      <c r="M55" s="35" t="s">
        <v>193</v>
      </c>
      <c r="N55" s="35">
        <f>(61-N36*(58-N36)+N40*(270-330*N36))/360</f>
        <v>-0.09375069158845063</v>
      </c>
      <c r="P55" s="35" t="s">
        <v>193</v>
      </c>
      <c r="Q55" s="35">
        <f>(61-Q36*(58-Q36)+Q40*(270-330*Q36))/360</f>
        <v>-0.0888916845033244</v>
      </c>
      <c r="S55" s="35" t="s">
        <v>193</v>
      </c>
      <c r="T55" s="35">
        <f>(61-T36*(58-T36)+T40*(270-330*T36))/360</f>
        <v>-0.08889363611143289</v>
      </c>
      <c r="V55" s="35" t="s">
        <v>193</v>
      </c>
      <c r="W55" s="35">
        <f>(61-W36*(58-W36)+W40*(270-330*W36))/360</f>
        <v>-0.08895202906281585</v>
      </c>
      <c r="Y55" s="35" t="s">
        <v>193</v>
      </c>
      <c r="Z55" s="35">
        <f>(61-Z36*(58-Z36)+Z40*(270-330*Z36))/360</f>
        <v>-0.08895219173712393</v>
      </c>
      <c r="AB55" s="35" t="s">
        <v>193</v>
      </c>
      <c r="AC55" s="35">
        <f>(61-AC36*(58-AC36)+AC40*(270-330*AC36))/360</f>
        <v>-0.08895154104055342</v>
      </c>
      <c r="AE55" s="35" t="s">
        <v>193</v>
      </c>
      <c r="AF55" s="35">
        <f>(61-AF36*(58-AF36)+AF40*(270-330*AF36))/360</f>
        <v>-0.08895154104055342</v>
      </c>
      <c r="AH55" s="35" t="s">
        <v>193</v>
      </c>
      <c r="AI55" s="35">
        <f>(61-AI36*(58-AI36)+AI40*(270-330*AI36))/360</f>
        <v>-0.08895154104055342</v>
      </c>
      <c r="AK55" s="35" t="s">
        <v>193</v>
      </c>
      <c r="AL55" s="35">
        <f>(61-AL36*(58-AL36)+AL40*(270-330*AL36))/360</f>
        <v>-0.08895154104055342</v>
      </c>
      <c r="AN55" s="35" t="s">
        <v>193</v>
      </c>
      <c r="AO55" s="35">
        <f>(61-AO36*(58-AO36)+AO40*(270-330*AO36))/360</f>
        <v>-0.08895154104055342</v>
      </c>
      <c r="AQ55" s="35" t="s">
        <v>193</v>
      </c>
      <c r="AR55" s="35">
        <f>(61-AR36*(58-AR36)+AR40*(270-330*AR36))/360</f>
        <v>-0.08895154104055342</v>
      </c>
      <c r="AT55" s="35" t="s">
        <v>193</v>
      </c>
      <c r="AU55" s="35">
        <f>(61-AU36*(58-AU36)+AU40*(270-330*AU36))/360</f>
        <v>-0.08895154104055342</v>
      </c>
      <c r="AW55" s="35" t="s">
        <v>193</v>
      </c>
      <c r="AX55" s="35">
        <f>(61-AX36*(58-AX36)+AX40*(270-330*AX36))/360</f>
        <v>-0.08895154104055342</v>
      </c>
      <c r="AZ55" s="35" t="s">
        <v>193</v>
      </c>
      <c r="BA55" s="35">
        <f>(61-BA36*(58-BA36)+BA40*(270-330*BA36))/360</f>
        <v>-0.08895154104055342</v>
      </c>
      <c r="BC55" s="35" t="s">
        <v>193</v>
      </c>
      <c r="BD55" s="35">
        <f>(61-BD36*(58-BD36)+BD40*(270-330*BD36))/360</f>
        <v>-0.08895154104055342</v>
      </c>
      <c r="BF55" s="35" t="s">
        <v>193</v>
      </c>
      <c r="BG55" s="35">
        <f>(61-BG36*(58-BG36)+BG40*(270-330*BG36))/360</f>
        <v>-0.08895154104055342</v>
      </c>
      <c r="BI55" s="35" t="s">
        <v>193</v>
      </c>
      <c r="BJ55" s="35">
        <f>(61-BJ36*(58-BJ36)+BJ40*(270-330*BJ36))/360</f>
        <v>-0.08895154104055342</v>
      </c>
      <c r="BL55" s="35" t="s">
        <v>193</v>
      </c>
      <c r="BM55" s="35">
        <f>(61-BM36*(58-BM36)+BM40*(270-330*BM36))/360</f>
        <v>-0.08895154104055342</v>
      </c>
      <c r="BO55" s="35" t="s">
        <v>193</v>
      </c>
      <c r="BP55" s="35">
        <f>(61-BP36*(58-BP36)+BP40*(270-330*BP36))/360</f>
        <v>-0.08895154104055342</v>
      </c>
    </row>
    <row r="56" spans="1:68" ht="9.75">
      <c r="A56" s="35" t="s">
        <v>194</v>
      </c>
      <c r="B56" s="35">
        <f>B44*(1-B46)/((1-B46*B50^2)^1.5)</f>
        <v>6375169.99810831</v>
      </c>
      <c r="G56" s="35" t="s">
        <v>188</v>
      </c>
      <c r="H56" s="35">
        <f>COS(H51)</f>
        <v>0.6156634796737399</v>
      </c>
      <c r="J56" s="35" t="s">
        <v>195</v>
      </c>
      <c r="K56" s="35">
        <f>TMScale*K52+K53*K38*(1+K38*(K54+K55*K38))</f>
        <v>5761088.221694433</v>
      </c>
      <c r="M56" s="35" t="s">
        <v>195</v>
      </c>
      <c r="N56" s="35">
        <f>INT(TMScale*N52+N53*N38*(1+N38*(N54+N55*N38)))</f>
        <v>5819860</v>
      </c>
      <c r="P56" s="35" t="s">
        <v>195</v>
      </c>
      <c r="Q56" s="35">
        <f>INT(TMScale*Q52+Q53*Q38*(1+Q38*(Q54+Q55*Q38)))</f>
        <v>5790270</v>
      </c>
      <c r="S56" s="35" t="s">
        <v>195</v>
      </c>
      <c r="T56" s="35">
        <f>INT(TMScale*T52+T53*T38*(1+T38*(T54+T55*T38)))</f>
        <v>5789923</v>
      </c>
      <c r="V56" s="35" t="s">
        <v>195</v>
      </c>
      <c r="W56" s="35">
        <f>INT(TMScale*W52+W53*W38*(1+W38*(W54+W55*W38)))</f>
        <v>5790281</v>
      </c>
      <c r="Y56" s="35" t="s">
        <v>195</v>
      </c>
      <c r="Z56" s="35">
        <f>INT(TMScale*Z52+Z53*Z38*(1+Z38*(Z54+Z55*Z38)))</f>
        <v>5790286</v>
      </c>
      <c r="AB56" s="35" t="s">
        <v>195</v>
      </c>
      <c r="AC56" s="35">
        <f>INT(TMScale*AC52+AC53*AC38*(1+AC38*(AC54+AC55*AC38)))</f>
        <v>5790282</v>
      </c>
      <c r="AE56" s="35" t="s">
        <v>195</v>
      </c>
      <c r="AF56" s="35">
        <f>INT(TMScale*AF52+AF53*AF38*(1+AF38*(AF54+AF55*AF38)))</f>
        <v>5790282</v>
      </c>
      <c r="AH56" s="35" t="s">
        <v>195</v>
      </c>
      <c r="AI56" s="35">
        <f>INT(TMScale*AI52+AI53*AI38*(1+AI38*(AI54+AI55*AI38)))</f>
        <v>5790282</v>
      </c>
      <c r="AK56" s="35" t="s">
        <v>195</v>
      </c>
      <c r="AL56" s="35">
        <f>INT(TMScale*AL52+AL53*AL38*(1+AL38*(AL54+AL55*AL38)))</f>
        <v>5790282</v>
      </c>
      <c r="AN56" s="35" t="s">
        <v>195</v>
      </c>
      <c r="AO56" s="35">
        <f>INT(TMScale*AO52+AO53*AO38*(1+AO38*(AO54+AO55*AO38)))</f>
        <v>5790282</v>
      </c>
      <c r="AQ56" s="35" t="s">
        <v>195</v>
      </c>
      <c r="AR56" s="35">
        <f>INT(TMScale*AR52+AR53*AR38*(1+AR38*(AR54+AR55*AR38)))</f>
        <v>5790282</v>
      </c>
      <c r="AT56" s="35" t="s">
        <v>195</v>
      </c>
      <c r="AU56" s="35">
        <f>INT(TMScale*AU52+AU53*AU38*(1+AU38*(AU54+AU55*AU38)))</f>
        <v>5790282</v>
      </c>
      <c r="AW56" s="35" t="s">
        <v>195</v>
      </c>
      <c r="AX56" s="35">
        <f>INT(TMScale*AX52+AX53*AX38*(1+AX38*(AX54+AX55*AX38)))</f>
        <v>5790282</v>
      </c>
      <c r="AZ56" s="35" t="s">
        <v>195</v>
      </c>
      <c r="BA56" s="35">
        <f>INT(TMScale*BA52+BA53*BA38*(1+BA38*(BA54+BA55*BA38)))</f>
        <v>5790282</v>
      </c>
      <c r="BC56" s="35" t="s">
        <v>195</v>
      </c>
      <c r="BD56" s="35">
        <f>INT(TMScale*BD52+BD53*BD38*(1+BD38*(BD54+BD55*BD38)))</f>
        <v>5790282</v>
      </c>
      <c r="BF56" s="35" t="s">
        <v>195</v>
      </c>
      <c r="BG56" s="35">
        <f>INT(TMScale*BG52+BG53*BG38*(1+BG38*(BG54+BG55*BG38)))</f>
        <v>5790282</v>
      </c>
      <c r="BI56" s="35" t="s">
        <v>195</v>
      </c>
      <c r="BJ56" s="35">
        <f>INT(TMScale*BJ52+BJ53*BJ38*(1+BJ38*(BJ54+BJ55*BJ38)))</f>
        <v>5790282</v>
      </c>
      <c r="BL56" s="35" t="s">
        <v>195</v>
      </c>
      <c r="BM56" s="35">
        <f>INT(TMScale*BM52+BM53*BM38*(1+BM38*(BM54+BM55*BM38)))</f>
        <v>5790282</v>
      </c>
      <c r="BO56" s="35" t="s">
        <v>195</v>
      </c>
      <c r="BP56" s="35">
        <f>INT(TMScale*BP52+BP53*BP38*(1+BP38*(BP54+BP55*BP38)))</f>
        <v>5790282</v>
      </c>
    </row>
    <row r="57" spans="7:8" ht="9.75">
      <c r="G57" s="35" t="s">
        <v>189</v>
      </c>
      <c r="H57" s="35">
        <f>COS(H52)</f>
        <v>0.9946639161894071</v>
      </c>
    </row>
    <row r="58" spans="1:68" ht="9.75">
      <c r="A58" s="35" t="s">
        <v>196</v>
      </c>
      <c r="B58" s="35">
        <f>((-B40*B50*B53-B41*B50*B51)+B42*B52)</f>
        <v>16.73625985167456</v>
      </c>
      <c r="J58" s="35" t="s">
        <v>123</v>
      </c>
      <c r="K58" s="35">
        <f>K56-OSNorthingOrigin</f>
        <v>234025.22169443313</v>
      </c>
      <c r="M58" s="35" t="s">
        <v>123</v>
      </c>
      <c r="N58" s="35">
        <f>INT(N56)-OSNorthingOrigin</f>
        <v>292797</v>
      </c>
      <c r="P58" s="35" t="s">
        <v>123</v>
      </c>
      <c r="Q58" s="35">
        <f>INT(Q56)-OSNorthingOrigin</f>
        <v>263207</v>
      </c>
      <c r="S58" s="35" t="s">
        <v>123</v>
      </c>
      <c r="T58" s="35">
        <f>INT(T56)-OSNorthingOrigin</f>
        <v>262860</v>
      </c>
      <c r="V58" s="35" t="s">
        <v>123</v>
      </c>
      <c r="W58" s="35">
        <f>INT(W56)-OSNorthingOrigin</f>
        <v>263218</v>
      </c>
      <c r="Y58" s="35" t="s">
        <v>123</v>
      </c>
      <c r="Z58" s="35">
        <f>INT(Z56)-OSNorthingOrigin</f>
        <v>263223</v>
      </c>
      <c r="AB58" s="35" t="s">
        <v>123</v>
      </c>
      <c r="AC58" s="35">
        <f>INT(AC56)-OSNorthingOrigin</f>
        <v>263219</v>
      </c>
      <c r="AE58" s="35" t="s">
        <v>123</v>
      </c>
      <c r="AF58" s="35">
        <f>INT(AF56)-OSNorthingOrigin</f>
        <v>263219</v>
      </c>
      <c r="AH58" s="35" t="s">
        <v>123</v>
      </c>
      <c r="AI58" s="35">
        <f>INT(AI56)-OSNorthingOrigin</f>
        <v>263219</v>
      </c>
      <c r="AK58" s="35" t="s">
        <v>123</v>
      </c>
      <c r="AL58" s="35">
        <f>INT(AL56)-OSNorthingOrigin</f>
        <v>263219</v>
      </c>
      <c r="AN58" s="35" t="s">
        <v>123</v>
      </c>
      <c r="AO58" s="35">
        <f>INT(AO56)-OSNorthingOrigin</f>
        <v>263219</v>
      </c>
      <c r="AQ58" s="35" t="s">
        <v>123</v>
      </c>
      <c r="AR58" s="35">
        <f>INT(AR56)-OSNorthingOrigin</f>
        <v>263219</v>
      </c>
      <c r="AT58" s="35" t="s">
        <v>123</v>
      </c>
      <c r="AU58" s="35">
        <f>INT(AU56)-OSNorthingOrigin</f>
        <v>263219</v>
      </c>
      <c r="AW58" s="35" t="s">
        <v>123</v>
      </c>
      <c r="AX58" s="35">
        <f>INT(AX56)-OSNorthingOrigin</f>
        <v>263219</v>
      </c>
      <c r="AZ58" s="35" t="s">
        <v>123</v>
      </c>
      <c r="BA58" s="35">
        <f>INT(BA56)-OSNorthingOrigin</f>
        <v>263219</v>
      </c>
      <c r="BC58" s="35" t="s">
        <v>123</v>
      </c>
      <c r="BD58" s="35">
        <f>INT(BD56)-OSNorthingOrigin</f>
        <v>263219</v>
      </c>
      <c r="BF58" s="35" t="s">
        <v>123</v>
      </c>
      <c r="BG58" s="35">
        <f>INT(BG56)-OSNorthingOrigin</f>
        <v>263219</v>
      </c>
      <c r="BI58" s="35" t="s">
        <v>123</v>
      </c>
      <c r="BJ58" s="35">
        <f>INT(BJ56)-OSNorthingOrigin</f>
        <v>263219</v>
      </c>
      <c r="BL58" s="35" t="s">
        <v>123</v>
      </c>
      <c r="BM58" s="35">
        <f>INT(BM56)-OSNorthingOrigin</f>
        <v>263219</v>
      </c>
      <c r="BO58" s="35" t="s">
        <v>123</v>
      </c>
      <c r="BP58" s="35">
        <f>INT(BP56)-OSNorthingOrigin</f>
        <v>263219</v>
      </c>
    </row>
    <row r="59" spans="1:68" ht="9.75">
      <c r="A59" s="35" t="s">
        <v>197</v>
      </c>
      <c r="B59" s="35">
        <f>B38*(B55*B46*B50*B52)/B44</f>
        <v>-1.8812182780337567</v>
      </c>
      <c r="G59" s="35" t="s">
        <v>192</v>
      </c>
      <c r="H59" s="35">
        <f>H48/SQRT(1-(H50*H54^2))</f>
        <v>6390812.915636048</v>
      </c>
      <c r="J59" s="35" t="s">
        <v>198</v>
      </c>
      <c r="K59" s="35">
        <f>K49-OSEastingOrigin</f>
        <v>331356.88937511394</v>
      </c>
      <c r="M59" s="35" t="s">
        <v>198</v>
      </c>
      <c r="N59" s="35">
        <f>N49-OSEastingOrigin</f>
        <v>944343.2723816816</v>
      </c>
      <c r="P59" s="35" t="s">
        <v>198</v>
      </c>
      <c r="Q59" s="35">
        <f>Q49-OSEastingOrigin</f>
        <v>946616.5407703436</v>
      </c>
      <c r="S59" s="35" t="s">
        <v>198</v>
      </c>
      <c r="T59" s="35">
        <f>T49-OSEastingOrigin</f>
        <v>943352.9308980581</v>
      </c>
      <c r="V59" s="35" t="s">
        <v>198</v>
      </c>
      <c r="W59" s="35">
        <f>W49-OSEastingOrigin</f>
        <v>943312.7518632293</v>
      </c>
      <c r="Y59" s="35" t="s">
        <v>198</v>
      </c>
      <c r="Z59" s="35">
        <f>Z49-OSEastingOrigin</f>
        <v>943351.8637692698</v>
      </c>
      <c r="AB59" s="35" t="s">
        <v>198</v>
      </c>
      <c r="AC59" s="35">
        <f>AC49-OSEastingOrigin</f>
        <v>943352.4381825391</v>
      </c>
      <c r="AE59" s="35" t="s">
        <v>198</v>
      </c>
      <c r="AF59" s="35">
        <f>AF49-OSEastingOrigin</f>
        <v>943352.0002967264</v>
      </c>
      <c r="AH59" s="35" t="s">
        <v>198</v>
      </c>
      <c r="AI59" s="35">
        <f>AI49-OSEastingOrigin</f>
        <v>943352.0000002008</v>
      </c>
      <c r="AK59" s="35" t="s">
        <v>198</v>
      </c>
      <c r="AL59" s="35">
        <f>AL49-OSEastingOrigin</f>
        <v>943352.0000000002</v>
      </c>
      <c r="AN59" s="35" t="s">
        <v>198</v>
      </c>
      <c r="AO59" s="35">
        <f>AO49-OSEastingOrigin</f>
        <v>943352.0000000002</v>
      </c>
      <c r="AQ59" s="35" t="s">
        <v>198</v>
      </c>
      <c r="AR59" s="35">
        <f>AR49-OSEastingOrigin</f>
        <v>943352.0000000002</v>
      </c>
      <c r="AT59" s="35" t="s">
        <v>198</v>
      </c>
      <c r="AU59" s="35">
        <f>AU49-OSEastingOrigin</f>
        <v>943352.0000000002</v>
      </c>
      <c r="AW59" s="35" t="s">
        <v>198</v>
      </c>
      <c r="AX59" s="35">
        <f>AX49-OSEastingOrigin</f>
        <v>943352.0000000002</v>
      </c>
      <c r="AZ59" s="35" t="s">
        <v>198</v>
      </c>
      <c r="BA59" s="35">
        <f>BA49-OSEastingOrigin</f>
        <v>943352.0000000002</v>
      </c>
      <c r="BC59" s="35" t="s">
        <v>198</v>
      </c>
      <c r="BD59" s="35">
        <f>BD49-OSEastingOrigin</f>
        <v>943352.0000000002</v>
      </c>
      <c r="BF59" s="35" t="s">
        <v>198</v>
      </c>
      <c r="BG59" s="35">
        <f>BG49-OSEastingOrigin</f>
        <v>943352.0000000002</v>
      </c>
      <c r="BI59" s="35" t="s">
        <v>198</v>
      </c>
      <c r="BJ59" s="35">
        <f>BJ49-OSEastingOrigin</f>
        <v>943352.0000000002</v>
      </c>
      <c r="BL59" s="35" t="s">
        <v>198</v>
      </c>
      <c r="BM59" s="35">
        <f>BM49-OSEastingOrigin</f>
        <v>943352.0000000002</v>
      </c>
      <c r="BO59" s="35" t="s">
        <v>198</v>
      </c>
      <c r="BP59" s="35">
        <f>BP49-OSEastingOrigin</f>
        <v>943352.0000000002</v>
      </c>
    </row>
    <row r="60" spans="1:68" ht="9.75">
      <c r="A60" s="35" t="s">
        <v>199</v>
      </c>
      <c r="B60" s="35">
        <f>B39*(B56/(1-B45)+B55*(1-B45))*B50*B52</f>
        <v>-74.38755908175301</v>
      </c>
      <c r="G60" s="35" t="s">
        <v>194</v>
      </c>
      <c r="H60" s="35">
        <f>H48*(1-H50)/((1-H50*H54^2)^1.5)</f>
        <v>6374587.098942482</v>
      </c>
      <c r="J60" s="35" t="s">
        <v>169</v>
      </c>
      <c r="K60" s="35">
        <f>$H$27-K59</f>
        <v>611995.1106248861</v>
      </c>
      <c r="M60" s="35" t="s">
        <v>169</v>
      </c>
      <c r="N60" s="35">
        <f>$H$27-N59</f>
        <v>-991.2723816815997</v>
      </c>
      <c r="P60" s="35" t="s">
        <v>169</v>
      </c>
      <c r="Q60" s="35">
        <f>$H$27-Q59</f>
        <v>-3264.5407703436213</v>
      </c>
      <c r="S60" s="35" t="s">
        <v>169</v>
      </c>
      <c r="T60" s="35">
        <f>$H$27-T59</f>
        <v>-0.9308980581117794</v>
      </c>
      <c r="V60" s="35" t="s">
        <v>169</v>
      </c>
      <c r="W60" s="35">
        <f>$H$27-W59</f>
        <v>39.248136770678684</v>
      </c>
      <c r="Y60" s="35" t="s">
        <v>169</v>
      </c>
      <c r="Z60" s="35">
        <f>$H$27-Z59</f>
        <v>0.13623073021881282</v>
      </c>
      <c r="AB60" s="35" t="s">
        <v>169</v>
      </c>
      <c r="AC60" s="35">
        <f>$H$27-AC59</f>
        <v>-0.4381825390737504</v>
      </c>
      <c r="AE60" s="35" t="s">
        <v>169</v>
      </c>
      <c r="AF60" s="35">
        <f>$H$27-AF59</f>
        <v>-0.00029672635719180107</v>
      </c>
      <c r="AH60" s="35" t="s">
        <v>169</v>
      </c>
      <c r="AI60" s="35">
        <f>$H$27-AI59</f>
        <v>-2.0081643015146255E-07</v>
      </c>
      <c r="AK60" s="35" t="s">
        <v>169</v>
      </c>
      <c r="AL60" s="35">
        <f>$H$27-AL59</f>
        <v>0</v>
      </c>
      <c r="AN60" s="35" t="s">
        <v>169</v>
      </c>
      <c r="AO60" s="35">
        <f>$H$27-AO59</f>
        <v>0</v>
      </c>
      <c r="AQ60" s="35" t="s">
        <v>169</v>
      </c>
      <c r="AR60" s="35">
        <f>$H$27-AR59</f>
        <v>0</v>
      </c>
      <c r="AT60" s="35" t="s">
        <v>169</v>
      </c>
      <c r="AU60" s="35">
        <f>$H$27-AU59</f>
        <v>0</v>
      </c>
      <c r="AW60" s="35" t="s">
        <v>169</v>
      </c>
      <c r="AX60" s="35">
        <f>$H$27-AX59</f>
        <v>0</v>
      </c>
      <c r="AZ60" s="35" t="s">
        <v>169</v>
      </c>
      <c r="BA60" s="35">
        <f>$H$27-BA59</f>
        <v>0</v>
      </c>
      <c r="BC60" s="35" t="s">
        <v>169</v>
      </c>
      <c r="BD60" s="35">
        <f>$H$27-BD59</f>
        <v>0</v>
      </c>
      <c r="BF60" s="35" t="s">
        <v>169</v>
      </c>
      <c r="BG60" s="35">
        <f>$H$27-BG59</f>
        <v>0</v>
      </c>
      <c r="BI60" s="35" t="s">
        <v>169</v>
      </c>
      <c r="BJ60" s="35">
        <f>$H$27-BJ59</f>
        <v>0</v>
      </c>
      <c r="BL60" s="35" t="s">
        <v>169</v>
      </c>
      <c r="BM60" s="35">
        <f>$H$27-BM59</f>
        <v>0</v>
      </c>
      <c r="BO60" s="35" t="s">
        <v>169</v>
      </c>
      <c r="BP60" s="35">
        <f>$H$27-BP59</f>
        <v>0</v>
      </c>
    </row>
    <row r="61" spans="10:68" ht="9.75">
      <c r="J61" s="35" t="s">
        <v>171</v>
      </c>
      <c r="K61" s="35">
        <f>$H$28-K58</f>
        <v>29193.77830556687</v>
      </c>
      <c r="M61" s="35" t="s">
        <v>171</v>
      </c>
      <c r="N61" s="35">
        <f>$H$28-N58</f>
        <v>-29578</v>
      </c>
      <c r="P61" s="35" t="s">
        <v>171</v>
      </c>
      <c r="Q61" s="35">
        <f>$H$28-Q58</f>
        <v>12</v>
      </c>
      <c r="S61" s="35" t="s">
        <v>171</v>
      </c>
      <c r="T61" s="35">
        <f>$H$28-T58</f>
        <v>359</v>
      </c>
      <c r="V61" s="35" t="s">
        <v>171</v>
      </c>
      <c r="W61" s="35">
        <f>$H$28-W58</f>
        <v>1</v>
      </c>
      <c r="Y61" s="35" t="s">
        <v>171</v>
      </c>
      <c r="Z61" s="35">
        <f>$H$28-Z58</f>
        <v>-4</v>
      </c>
      <c r="AB61" s="35" t="s">
        <v>171</v>
      </c>
      <c r="AC61" s="35">
        <f>$H$28-AC58</f>
        <v>0</v>
      </c>
      <c r="AE61" s="35" t="s">
        <v>171</v>
      </c>
      <c r="AF61" s="35">
        <f>$H$28-AF58</f>
        <v>0</v>
      </c>
      <c r="AH61" s="35" t="s">
        <v>171</v>
      </c>
      <c r="AI61" s="35">
        <f>$H$28-AI58</f>
        <v>0</v>
      </c>
      <c r="AK61" s="35" t="s">
        <v>171</v>
      </c>
      <c r="AL61" s="35">
        <f>$H$28-AL58</f>
        <v>0</v>
      </c>
      <c r="AN61" s="35" t="s">
        <v>171</v>
      </c>
      <c r="AO61" s="35">
        <f>$H$28-AO58</f>
        <v>0</v>
      </c>
      <c r="AQ61" s="35" t="s">
        <v>171</v>
      </c>
      <c r="AR61" s="35">
        <f>$H$28-AR58</f>
        <v>0</v>
      </c>
      <c r="AT61" s="35" t="s">
        <v>171</v>
      </c>
      <c r="AU61" s="35">
        <f>$H$28-AU58</f>
        <v>0</v>
      </c>
      <c r="AW61" s="35" t="s">
        <v>171</v>
      </c>
      <c r="AX61" s="35">
        <f>$H$28-AX58</f>
        <v>0</v>
      </c>
      <c r="AZ61" s="35" t="s">
        <v>171</v>
      </c>
      <c r="BA61" s="35">
        <f>$H$28-BA58</f>
        <v>0</v>
      </c>
      <c r="BC61" s="35" t="s">
        <v>171</v>
      </c>
      <c r="BD61" s="35">
        <f>$H$28-BD58</f>
        <v>0</v>
      </c>
      <c r="BF61" s="35" t="s">
        <v>171</v>
      </c>
      <c r="BG61" s="35">
        <f>$H$28-BG58</f>
        <v>0</v>
      </c>
      <c r="BI61" s="35" t="s">
        <v>171</v>
      </c>
      <c r="BJ61" s="35">
        <f>$H$28-BJ58</f>
        <v>0</v>
      </c>
      <c r="BL61" s="35" t="s">
        <v>171</v>
      </c>
      <c r="BM61" s="35">
        <f>$H$28-BM58</f>
        <v>0</v>
      </c>
      <c r="BO61" s="35" t="s">
        <v>171</v>
      </c>
      <c r="BP61" s="35">
        <f>$H$28-BP58</f>
        <v>0</v>
      </c>
    </row>
    <row r="62" spans="1:68" ht="9.75">
      <c r="A62" s="35" t="s">
        <v>200</v>
      </c>
      <c r="B62" s="35">
        <f>(B58+B59+B60)/B56</f>
        <v>-9.33818510342111E-06</v>
      </c>
      <c r="G62" s="35" t="s">
        <v>196</v>
      </c>
      <c r="H62" s="35">
        <f>((-H44*H54*H57-H45*H54*H55)+H46*H56)</f>
        <v>-19.55162621478098</v>
      </c>
      <c r="J62" s="35" t="s">
        <v>201</v>
      </c>
      <c r="K62" s="35">
        <f>H33+K61*H32</f>
        <v>52.26227575973587</v>
      </c>
      <c r="M62" s="35" t="s">
        <v>201</v>
      </c>
      <c r="N62" s="35">
        <f>K62+N61*$H$32</f>
        <v>51.99654816736088</v>
      </c>
      <c r="P62" s="35" t="s">
        <v>201</v>
      </c>
      <c r="Q62" s="35">
        <f>N62+Q61*$H$32</f>
        <v>51.99665597489041</v>
      </c>
      <c r="S62" s="35" t="s">
        <v>201</v>
      </c>
      <c r="T62" s="35">
        <f>Q62+T61*$H$32</f>
        <v>51.999881216815574</v>
      </c>
      <c r="V62" s="35" t="s">
        <v>201</v>
      </c>
      <c r="W62" s="35">
        <f>T62+W61*$H$32</f>
        <v>51.99989020077637</v>
      </c>
      <c r="Y62" s="35" t="s">
        <v>201</v>
      </c>
      <c r="Z62" s="35">
        <f>W62+Z61*$H$32</f>
        <v>51.99985426493319</v>
      </c>
      <c r="AB62" s="35" t="s">
        <v>201</v>
      </c>
      <c r="AC62" s="35">
        <f>Z62+AC61*$H$32</f>
        <v>51.99985426493319</v>
      </c>
      <c r="AE62" s="35" t="s">
        <v>201</v>
      </c>
      <c r="AF62" s="35">
        <f>AC62+AF61*$H$32</f>
        <v>51.99985426493319</v>
      </c>
      <c r="AH62" s="35" t="s">
        <v>201</v>
      </c>
      <c r="AI62" s="35">
        <f>AF62+AI61*$H$32</f>
        <v>51.99985426493319</v>
      </c>
      <c r="AK62" s="35" t="s">
        <v>201</v>
      </c>
      <c r="AL62" s="35">
        <f>AI62+AL61*$H$32</f>
        <v>51.99985426493319</v>
      </c>
      <c r="AN62" s="35" t="s">
        <v>201</v>
      </c>
      <c r="AO62" s="35">
        <f>AL62+AO61*$H$32</f>
        <v>51.99985426493319</v>
      </c>
      <c r="AQ62" s="35" t="s">
        <v>201</v>
      </c>
      <c r="AR62" s="35">
        <f>AO62+AR61*$H$32</f>
        <v>51.99985426493319</v>
      </c>
      <c r="AT62" s="35" t="s">
        <v>201</v>
      </c>
      <c r="AU62" s="35">
        <f>AR62+AU61*$H$32</f>
        <v>51.99985426493319</v>
      </c>
      <c r="AW62" s="35" t="s">
        <v>201</v>
      </c>
      <c r="AX62" s="35">
        <f>AU62+AX61*$H$32</f>
        <v>51.99985426493319</v>
      </c>
      <c r="AZ62" s="35" t="s">
        <v>201</v>
      </c>
      <c r="BA62" s="35">
        <f>AX62+BA61*$H$32</f>
        <v>51.99985426493319</v>
      </c>
      <c r="BC62" s="35" t="s">
        <v>201</v>
      </c>
      <c r="BD62" s="35">
        <f>BA62+BD61*$H$32</f>
        <v>51.99985426493319</v>
      </c>
      <c r="BF62" s="35" t="s">
        <v>201</v>
      </c>
      <c r="BG62" s="35">
        <f>BD62+BG61*$H$32</f>
        <v>51.99985426493319</v>
      </c>
      <c r="BI62" s="35" t="s">
        <v>201</v>
      </c>
      <c r="BJ62" s="35">
        <f>BG62+BJ61*$H$32</f>
        <v>51.99985426493319</v>
      </c>
      <c r="BL62" s="35" t="s">
        <v>201</v>
      </c>
      <c r="BM62" s="35">
        <f>BJ62+BM61*$H$32</f>
        <v>51.99985426493319</v>
      </c>
      <c r="BO62" s="35" t="s">
        <v>201</v>
      </c>
      <c r="BP62" s="35">
        <f>BM62+BP61*$H$32</f>
        <v>51.99985426493319</v>
      </c>
    </row>
    <row r="63" spans="1:68" ht="9.75">
      <c r="A63" s="35" t="s">
        <v>73</v>
      </c>
      <c r="B63" s="35">
        <f>(B47+B62)/rad</f>
        <v>51.50421496140526</v>
      </c>
      <c r="G63" s="35" t="s">
        <v>197</v>
      </c>
      <c r="H63" s="35">
        <f>H42*(H59*H50*H54*H56)/H48</f>
        <v>1.8601552873766376</v>
      </c>
      <c r="J63" s="35" t="s">
        <v>202</v>
      </c>
      <c r="K63" s="35">
        <f>H34+K60*H32/COS(rad*K62)</f>
        <v>5.983186528479273</v>
      </c>
      <c r="M63" s="35" t="s">
        <v>202</v>
      </c>
      <c r="N63" s="35">
        <f>K63+N60*$H$32/COS(rad*N62)</f>
        <v>5.968722629206652</v>
      </c>
      <c r="P63" s="35" t="s">
        <v>202</v>
      </c>
      <c r="Q63" s="35">
        <f>N63+Q60*$H$32/COS(rad*Q62)</f>
        <v>5.92108879672116</v>
      </c>
      <c r="S63" s="35" t="s">
        <v>202</v>
      </c>
      <c r="T63" s="35">
        <f>Q63+T60*$H$32/COS(rad*T62)</f>
        <v>5.921075212747173</v>
      </c>
      <c r="V63" s="35" t="s">
        <v>202</v>
      </c>
      <c r="W63" s="35">
        <f>T63+W60*$H$32/COS(rad*W62)</f>
        <v>5.921647934723872</v>
      </c>
      <c r="Y63" s="35" t="s">
        <v>202</v>
      </c>
      <c r="Z63" s="35">
        <f>W63+Z60*$H$32/COS(rad*Z62)</f>
        <v>5.921649922646787</v>
      </c>
      <c r="AB63" s="35" t="s">
        <v>202</v>
      </c>
      <c r="AC63" s="35">
        <f>Z63+AC60*$H$32/COS(rad*AC62)</f>
        <v>5.921643528545331</v>
      </c>
      <c r="AE63" s="35" t="s">
        <v>202</v>
      </c>
      <c r="AF63" s="35">
        <f>AC63+AF60*$H$32/COS(rad*AF62)</f>
        <v>5.921643524215404</v>
      </c>
      <c r="AH63" s="35" t="s">
        <v>202</v>
      </c>
      <c r="AI63" s="35">
        <f>AF63+AI60*$H$32/COS(rad*AI62)</f>
        <v>5.921643524212474</v>
      </c>
      <c r="AK63" s="35" t="s">
        <v>202</v>
      </c>
      <c r="AL63" s="35">
        <f>AI63+AL60*$H$32/COS(rad*AL62)</f>
        <v>5.921643524212474</v>
      </c>
      <c r="AN63" s="35" t="s">
        <v>202</v>
      </c>
      <c r="AO63" s="35">
        <f>AL63+AO60*$H$32/COS(rad*AO62)</f>
        <v>5.921643524212474</v>
      </c>
      <c r="AQ63" s="35" t="s">
        <v>202</v>
      </c>
      <c r="AR63" s="35">
        <f>AO63+AR60*$H$32/COS(rad*AR62)</f>
        <v>5.921643524212474</v>
      </c>
      <c r="AT63" s="35" t="s">
        <v>202</v>
      </c>
      <c r="AU63" s="35">
        <f>AR63+AU60*$H$32/COS(rad*AU62)</f>
        <v>5.921643524212474</v>
      </c>
      <c r="AW63" s="35" t="s">
        <v>202</v>
      </c>
      <c r="AX63" s="35">
        <f>AU63+AX60*$H$32/COS(rad*AX62)</f>
        <v>5.921643524212474</v>
      </c>
      <c r="AZ63" s="35" t="s">
        <v>202</v>
      </c>
      <c r="BA63" s="35">
        <f>AX63+BA60*$H$32/COS(rad*BA62)</f>
        <v>5.921643524212474</v>
      </c>
      <c r="BC63" s="35" t="s">
        <v>202</v>
      </c>
      <c r="BD63" s="35">
        <f>BA63+BD60*$H$32/COS(rad*BD62)</f>
        <v>5.921643524212474</v>
      </c>
      <c r="BF63" s="35" t="s">
        <v>202</v>
      </c>
      <c r="BG63" s="35">
        <f>BD63+BG60*$H$32/COS(rad*BG62)</f>
        <v>5.921643524212474</v>
      </c>
      <c r="BI63" s="35" t="s">
        <v>202</v>
      </c>
      <c r="BJ63" s="35">
        <f>BG63+BJ60*$H$32/COS(rad*BJ62)</f>
        <v>5.921643524212474</v>
      </c>
      <c r="BL63" s="35" t="s">
        <v>202</v>
      </c>
      <c r="BM63" s="35">
        <f>BJ63+BM60*$H$32/COS(rad*BM62)</f>
        <v>5.921643524212474</v>
      </c>
      <c r="BO63" s="35" t="s">
        <v>202</v>
      </c>
      <c r="BP63" s="35">
        <f>BM63+BP60*$H$32/COS(rad*BP62)</f>
        <v>5.921643524212474</v>
      </c>
    </row>
    <row r="64" spans="7:8" ht="9.75">
      <c r="G64" s="35" t="s">
        <v>199</v>
      </c>
      <c r="H64" s="35">
        <f>H43*(H60/(1-H49)+H59*(1-H49))*H54*H56</f>
        <v>74.06989027550402</v>
      </c>
    </row>
    <row r="65" spans="1:2" ht="9.75">
      <c r="A65" s="35" t="s">
        <v>203</v>
      </c>
      <c r="B65" s="35">
        <f>(-B40*B51+B41*B53)/(B55*B52)</f>
        <v>3.5841486924229945E-05</v>
      </c>
    </row>
    <row r="66" spans="1:8" ht="9.75">
      <c r="A66" s="35" t="s">
        <v>79</v>
      </c>
      <c r="B66" s="35">
        <f>(B48+B65)/rad</f>
        <v>4.897970565932232</v>
      </c>
      <c r="G66" s="35" t="s">
        <v>200</v>
      </c>
      <c r="H66" s="35">
        <f>(H62+H63+H64)/H60</f>
        <v>8.844246454402143E-06</v>
      </c>
    </row>
    <row r="67" spans="7:8" ht="9.75">
      <c r="G67" s="35" t="s">
        <v>77</v>
      </c>
      <c r="H67" s="38">
        <f>(H51+H66)/rad</f>
        <v>52.000361002928</v>
      </c>
    </row>
    <row r="69" spans="1:8" ht="9.75">
      <c r="A69" s="35" t="s">
        <v>73</v>
      </c>
      <c r="B69" s="35">
        <f>B63</f>
        <v>51.50421496140526</v>
      </c>
      <c r="G69" s="35" t="s">
        <v>203</v>
      </c>
      <c r="H69" s="35">
        <f>(-H44*H55+H45*H57)/(H59*H56)</f>
        <v>-3.7893603891912894E-05</v>
      </c>
    </row>
    <row r="70" spans="1:8" ht="9.75">
      <c r="A70" s="35" t="s">
        <v>79</v>
      </c>
      <c r="B70" s="35">
        <f>B66</f>
        <v>4.897970565932232</v>
      </c>
      <c r="G70" s="35" t="s">
        <v>78</v>
      </c>
      <c r="H70" s="38">
        <f>(H52+H69)/rad</f>
        <v>5.9194723806389264</v>
      </c>
    </row>
    <row r="72" spans="1:2" ht="9.75">
      <c r="A72" s="35" t="s">
        <v>73</v>
      </c>
      <c r="B72" s="35">
        <f>B69</f>
        <v>51.50421496140526</v>
      </c>
    </row>
    <row r="73" spans="1:2" ht="9.75">
      <c r="A73" s="35" t="s">
        <v>79</v>
      </c>
      <c r="B73" s="35">
        <f>B70</f>
        <v>4.897970565932232</v>
      </c>
    </row>
    <row r="77" spans="1:2" ht="9.75">
      <c r="A77" s="35" t="s">
        <v>155</v>
      </c>
      <c r="B77" s="35">
        <f>rad*(B73-LongArrayOrigin)</f>
        <v>0.12039229808117392</v>
      </c>
    </row>
    <row r="78" spans="1:2" ht="9.75">
      <c r="A78" s="35" t="s">
        <v>157</v>
      </c>
      <c r="B78" s="35">
        <f>rad*B72</f>
        <v>0.8989181297314451</v>
      </c>
    </row>
    <row r="79" spans="1:2" ht="9.75">
      <c r="A79" s="35" t="s">
        <v>158</v>
      </c>
      <c r="B79" s="35">
        <f>TAN(B78)</f>
        <v>1.2573621495318945</v>
      </c>
    </row>
    <row r="80" spans="1:2" ht="9.75">
      <c r="A80" s="35" t="s">
        <v>161</v>
      </c>
      <c r="B80" s="35">
        <f>B79*B79</f>
        <v>1.5809595750754664</v>
      </c>
    </row>
    <row r="81" spans="1:2" ht="9.75">
      <c r="A81" s="35" t="s">
        <v>74</v>
      </c>
      <c r="B81" s="35">
        <f>B77*COS(B78)</f>
        <v>0.0749390362015841</v>
      </c>
    </row>
    <row r="82" spans="1:2" ht="9.75">
      <c r="A82" s="35" t="s">
        <v>165</v>
      </c>
      <c r="B82" s="35">
        <f>B81*B81</f>
        <v>0.005615859146822332</v>
      </c>
    </row>
    <row r="83" spans="1:2" ht="9.75">
      <c r="A83" s="35" t="s">
        <v>168</v>
      </c>
      <c r="B83" s="35">
        <f>COS(B78)</f>
        <v>0.6224570624198635</v>
      </c>
    </row>
    <row r="84" spans="1:2" ht="9.75">
      <c r="A84" s="35" t="s">
        <v>170</v>
      </c>
      <c r="B84" s="35">
        <f>B83*B83*ecc2sq</f>
        <v>0.0026018751836978126</v>
      </c>
    </row>
    <row r="85" spans="1:2" ht="9.75">
      <c r="A85" s="35" t="s">
        <v>172</v>
      </c>
      <c r="B85" s="35">
        <f>SIN(B78)</f>
        <v>0.7826539499955483</v>
      </c>
    </row>
    <row r="86" spans="1:2" ht="9.75">
      <c r="A86" s="35" t="s">
        <v>174</v>
      </c>
      <c r="B86" s="35">
        <f>SQRT(1-eccsc*B85*B85)</f>
        <v>0.9979548985351155</v>
      </c>
    </row>
    <row r="87" spans="1:2" ht="9.75">
      <c r="A87" s="35" t="s">
        <v>175</v>
      </c>
      <c r="B87" s="35">
        <f>MajorAxis/B86</f>
        <v>6390632.888682183</v>
      </c>
    </row>
    <row r="89" spans="1:2" ht="9.75">
      <c r="A89" s="35" t="s">
        <v>178</v>
      </c>
      <c r="B89" s="35">
        <f>(61-B80*(479-179*B80)+B84*(14-58*B80))/5040</f>
        <v>-0.04942128015726489</v>
      </c>
    </row>
    <row r="90" spans="1:2" ht="9.75">
      <c r="A90" s="35" t="s">
        <v>180</v>
      </c>
      <c r="B90" s="35">
        <f>(5-B80*(18-B80)+B84*(14-58*B80))/120</f>
        <v>-0.1763332797573607</v>
      </c>
    </row>
    <row r="91" spans="1:2" ht="9.75">
      <c r="A91" s="35" t="s">
        <v>182</v>
      </c>
      <c r="B91" s="35">
        <f>(1-B80+B84)/6</f>
        <v>-0.09639294998196142</v>
      </c>
    </row>
    <row r="92" spans="1:2" ht="9.75">
      <c r="A92" s="35" t="s">
        <v>184</v>
      </c>
      <c r="B92" s="35">
        <f>TMScale*B87</f>
        <v>6388084.762494555</v>
      </c>
    </row>
    <row r="93" spans="1:2" ht="9.75">
      <c r="A93" s="35" t="s">
        <v>185</v>
      </c>
      <c r="B93" s="35">
        <f>B92*B81*(1+B82*(B91+B82*(B90+B89*B82)))</f>
        <v>478455.10539666354</v>
      </c>
    </row>
    <row r="96" spans="1:2" ht="9.75">
      <c r="A96" s="35" t="s">
        <v>105</v>
      </c>
      <c r="B96" s="35">
        <f>INT(MajorAxis*(1-eccsc)*(PA*B78-0.5*PB*SIN(2*B78)+0.25*PC*SIN(4*B78)))</f>
        <v>5707756</v>
      </c>
    </row>
    <row r="97" spans="1:2" ht="9.75">
      <c r="A97" s="35" t="s">
        <v>190</v>
      </c>
      <c r="B97" s="35">
        <f>INT(0.5*B92*B79)</f>
        <v>4016067</v>
      </c>
    </row>
    <row r="98" spans="1:2" ht="9.75">
      <c r="A98" s="35" t="s">
        <v>191</v>
      </c>
      <c r="B98" s="35">
        <f>ROUND((5-B80+B84*(9+4*B84))/12,7)</f>
        <v>0.2868737</v>
      </c>
    </row>
    <row r="99" spans="1:2" ht="9.75">
      <c r="A99" s="35" t="s">
        <v>193</v>
      </c>
      <c r="B99" s="35">
        <f>(61-B80*(58-B80)+B84*(270-330*B80))/360</f>
        <v>-0.08014210418540518</v>
      </c>
    </row>
    <row r="100" spans="1:2" ht="9.75">
      <c r="A100" s="35" t="s">
        <v>195</v>
      </c>
      <c r="B100" s="35">
        <f>INT(TMScale*B96+B97*B82*(1+B82*(B98+B99*B82)))</f>
        <v>5728070</v>
      </c>
    </row>
    <row r="102" spans="1:2" ht="9.75">
      <c r="A102" s="35" t="s">
        <v>123</v>
      </c>
      <c r="B102" s="38">
        <f>INT(B100)-OSNorthingOrigin</f>
        <v>201007</v>
      </c>
    </row>
    <row r="103" spans="1:2" ht="9.75">
      <c r="A103" s="35" t="s">
        <v>198</v>
      </c>
      <c r="B103" s="38">
        <f>B93-OSEastingOrigin</f>
        <v>878455.1053966635</v>
      </c>
    </row>
    <row r="106" spans="1:2" ht="9.75">
      <c r="A106" s="35" t="s">
        <v>204</v>
      </c>
      <c r="B106" s="35">
        <v>1</v>
      </c>
    </row>
    <row r="107" spans="1:2" ht="9.75">
      <c r="A107" s="35" t="s">
        <v>205</v>
      </c>
      <c r="B107" s="35">
        <v>10</v>
      </c>
    </row>
    <row r="111" spans="1:2" ht="9.75">
      <c r="A111" s="35" t="s">
        <v>206</v>
      </c>
      <c r="B111" s="35">
        <f>INT(1000000+B103)</f>
        <v>1878455</v>
      </c>
    </row>
    <row r="112" spans="1:2" ht="9.75">
      <c r="A112" s="35" t="s">
        <v>207</v>
      </c>
      <c r="B112" s="35">
        <f>INT(B102+500000)</f>
        <v>701007</v>
      </c>
    </row>
    <row r="113" spans="1:2" ht="9.75">
      <c r="A113" s="35" t="s">
        <v>208</v>
      </c>
      <c r="B113" s="35">
        <f>INT(B111/500000)</f>
        <v>3</v>
      </c>
    </row>
    <row r="114" spans="1:2" ht="9.75">
      <c r="A114" s="35" t="s">
        <v>209</v>
      </c>
      <c r="B114" s="35">
        <f>INT(B112/500000)</f>
        <v>1</v>
      </c>
    </row>
    <row r="115" spans="1:2" ht="9.75">
      <c r="A115" s="35" t="s">
        <v>210</v>
      </c>
      <c r="B115" s="35" t="str">
        <f>MID("VWXYZQRSTULMNOPFGHJKABCDE",B113+1+B114*5,1)</f>
        <v>T</v>
      </c>
    </row>
    <row r="116" spans="1:2" ht="9.75">
      <c r="A116" s="35" t="s">
        <v>211</v>
      </c>
      <c r="B116" s="47">
        <f>MOD(B111,500000)</f>
        <v>378455</v>
      </c>
    </row>
    <row r="117" spans="1:2" ht="9.75">
      <c r="A117" s="35" t="s">
        <v>212</v>
      </c>
      <c r="B117" s="47">
        <f>MOD(B112,500000)</f>
        <v>201007</v>
      </c>
    </row>
    <row r="118" spans="1:2" ht="9.75">
      <c r="A118" s="35" t="s">
        <v>213</v>
      </c>
      <c r="B118" s="35">
        <f>INT(B116/100000)</f>
        <v>3</v>
      </c>
    </row>
    <row r="119" spans="1:2" ht="9.75">
      <c r="A119" s="35" t="s">
        <v>209</v>
      </c>
      <c r="B119" s="35">
        <f>INT(B117/100000)</f>
        <v>2</v>
      </c>
    </row>
    <row r="120" spans="1:2" ht="9.75">
      <c r="A120" s="35" t="s">
        <v>214</v>
      </c>
      <c r="B120" s="35" t="str">
        <f>B115&amp;MID("VWXYZQRSTULMNOPFGHJKABCDE",B119*5+B118+1,1)</f>
        <v>TO</v>
      </c>
    </row>
    <row r="121" spans="1:2" ht="9.75">
      <c r="A121" s="35" t="s">
        <v>215</v>
      </c>
      <c r="B121" s="48">
        <f>MOD(B116,100000)</f>
        <v>78455</v>
      </c>
    </row>
    <row r="122" spans="1:7" ht="9.75">
      <c r="A122" s="35" t="s">
        <v>216</v>
      </c>
      <c r="B122" s="48">
        <f>MOD(B117,100000)</f>
        <v>1007</v>
      </c>
      <c r="G122" s="47"/>
    </row>
    <row r="124" ht="9.75">
      <c r="A124" s="35" t="s">
        <v>217</v>
      </c>
    </row>
    <row r="126" spans="1:2" ht="9.75">
      <c r="A126" s="35" t="s">
        <v>218</v>
      </c>
      <c r="B126" s="38" t="str">
        <f>B120&amp;" "&amp;TEXT(B121,"00000")&amp;" "&amp;TEXT(B122,"00000")</f>
        <v>TO 78455 01007</v>
      </c>
    </row>
    <row r="127" ht="9.75">
      <c r="B127" s="38"/>
    </row>
    <row r="128" ht="9.75">
      <c r="B128" s="38" t="str">
        <f>B120&amp;LEFT(TEXT(B121,"00000"),3)&amp;LEFT(TEXT(B122,"00000"),3)</f>
        <v>TO784010</v>
      </c>
    </row>
    <row r="131" spans="1:2" ht="9.75">
      <c r="A131" s="35" t="s">
        <v>219</v>
      </c>
      <c r="B131" s="35">
        <v>0.9996012717</v>
      </c>
    </row>
    <row r="132" spans="1:2" ht="9.75">
      <c r="A132" s="35" t="s">
        <v>220</v>
      </c>
      <c r="B132" s="35">
        <v>6377563.396</v>
      </c>
    </row>
    <row r="133" spans="1:2" ht="9.75">
      <c r="A133" s="35" t="s">
        <v>221</v>
      </c>
      <c r="B133" s="35">
        <v>6356256.91</v>
      </c>
    </row>
    <row r="136" spans="1:2" ht="9.75">
      <c r="A136" s="35" t="s">
        <v>222</v>
      </c>
      <c r="B136" s="35">
        <v>573.604</v>
      </c>
    </row>
    <row r="137" spans="1:2" ht="9.75">
      <c r="A137" s="35" t="s">
        <v>223</v>
      </c>
      <c r="B137" s="35">
        <v>1.1960023E-05</v>
      </c>
    </row>
    <row r="138" spans="1:2" ht="9.75">
      <c r="A138" s="35" t="s">
        <v>224</v>
      </c>
      <c r="B138" s="35">
        <v>375</v>
      </c>
    </row>
    <row r="139" spans="1:2" ht="9.75">
      <c r="A139" s="35" t="s">
        <v>225</v>
      </c>
      <c r="B139" s="35">
        <v>-111</v>
      </c>
    </row>
    <row r="140" spans="1:2" ht="9.75">
      <c r="A140" s="35" t="s">
        <v>226</v>
      </c>
      <c r="B140" s="35">
        <v>431</v>
      </c>
    </row>
    <row r="142" spans="1:2" ht="9.75">
      <c r="A142" s="35" t="s">
        <v>227</v>
      </c>
      <c r="B142" s="35">
        <v>6378137</v>
      </c>
    </row>
    <row r="143" spans="1:2" ht="9.75">
      <c r="A143" s="35" t="s">
        <v>132</v>
      </c>
      <c r="B143" s="35">
        <v>0.003352811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F35"/>
  <sheetViews>
    <sheetView showGridLines="0" showOutlineSymbols="0" zoomScale="75" zoomScaleNormal="75" zoomScalePageLayoutView="0" workbookViewId="0" topLeftCell="A1">
      <selection activeCell="K2" sqref="K2"/>
    </sheetView>
  </sheetViews>
  <sheetFormatPr defaultColWidth="9.140625" defaultRowHeight="12.75" outlineLevelRow="1"/>
  <cols>
    <col min="1" max="1" width="1.8515625" style="0" customWidth="1"/>
    <col min="2" max="2" width="25.140625" style="0" customWidth="1"/>
    <col min="3" max="3" width="22.140625" style="0" customWidth="1"/>
  </cols>
  <sheetData>
    <row r="1" ht="6" customHeight="1"/>
    <row r="2" spans="2:3" ht="15.75">
      <c r="B2" s="161" t="s">
        <v>312</v>
      </c>
      <c r="C2" s="162" t="s">
        <v>69</v>
      </c>
    </row>
    <row r="3" spans="2:3" ht="15">
      <c r="B3" s="163" t="s">
        <v>313</v>
      </c>
      <c r="C3" s="164">
        <v>6378137</v>
      </c>
    </row>
    <row r="4" spans="2:3" ht="19.5">
      <c r="B4" s="163" t="s">
        <v>328</v>
      </c>
      <c r="C4" s="165">
        <v>298.257223563</v>
      </c>
    </row>
    <row r="5" spans="2:3" ht="15" hidden="1" outlineLevel="1">
      <c r="B5" s="163" t="s">
        <v>314</v>
      </c>
      <c r="C5" s="166">
        <f>1/C4</f>
        <v>0.0033528106647474805</v>
      </c>
    </row>
    <row r="6" spans="2:3" ht="15" hidden="1" outlineLevel="1">
      <c r="B6" s="163" t="s">
        <v>315</v>
      </c>
      <c r="C6" s="167">
        <f>C3*(1-C7)</f>
        <v>6356752.314245179</v>
      </c>
    </row>
    <row r="7" spans="2:3" ht="15" hidden="1" outlineLevel="1">
      <c r="B7" s="163" t="s">
        <v>314</v>
      </c>
      <c r="C7" s="168">
        <f>1/C4</f>
        <v>0.0033528106647474805</v>
      </c>
    </row>
    <row r="8" spans="2:3" ht="17.25" hidden="1" outlineLevel="1">
      <c r="B8" s="163" t="s">
        <v>329</v>
      </c>
      <c r="C8" s="168">
        <f>(2*C7)-(C7*C7)</f>
        <v>0.0066943799901413165</v>
      </c>
    </row>
    <row r="9" spans="2:3" ht="15" hidden="1" outlineLevel="1">
      <c r="B9" s="163" t="s">
        <v>55</v>
      </c>
      <c r="C9" s="168">
        <f>SQRT(C8)</f>
        <v>0.08181919084262149</v>
      </c>
    </row>
    <row r="10" spans="2:6" ht="17.25" hidden="1" outlineLevel="1">
      <c r="B10" s="163" t="s">
        <v>330</v>
      </c>
      <c r="C10" s="168">
        <f>C8/(1-C8)</f>
        <v>0.006739496742276434</v>
      </c>
      <c r="F10" t="s">
        <v>316</v>
      </c>
    </row>
    <row r="11" spans="2:3" ht="15" hidden="1" outlineLevel="1">
      <c r="B11" s="69" t="s">
        <v>317</v>
      </c>
      <c r="C11" s="168">
        <f>SQRT(C10)</f>
        <v>0.08209443794969568</v>
      </c>
    </row>
    <row r="12" spans="2:3" ht="12.75" hidden="1" outlineLevel="1">
      <c r="B12" s="69"/>
      <c r="C12" s="82"/>
    </row>
    <row r="13" spans="2:3" ht="12.75" hidden="1" outlineLevel="1">
      <c r="B13" s="69" t="s">
        <v>36</v>
      </c>
      <c r="C13" s="82">
        <f>(C3-C6)/(C3+C6)</f>
        <v>0.0016792203863837205</v>
      </c>
    </row>
    <row r="14" spans="2:3" ht="12.75" hidden="1" outlineLevel="1">
      <c r="B14" s="69" t="s">
        <v>318</v>
      </c>
      <c r="C14" s="82">
        <f>C13*C13</f>
        <v>2.819781106046692E-06</v>
      </c>
    </row>
    <row r="15" spans="2:3" ht="12.75" hidden="1" outlineLevel="1">
      <c r="B15" s="69" t="s">
        <v>319</v>
      </c>
      <c r="C15" s="82">
        <f>C13*C14</f>
        <v>4.7350339184132405E-09</v>
      </c>
    </row>
    <row r="16" spans="2:3" ht="12.75" hidden="1" outlineLevel="1">
      <c r="B16" s="69" t="s">
        <v>320</v>
      </c>
      <c r="C16" s="82">
        <f>C14*C14</f>
        <v>7.951165486017904E-12</v>
      </c>
    </row>
    <row r="17" spans="2:3" ht="12.75" hidden="1" outlineLevel="1">
      <c r="B17" s="69" t="s">
        <v>95</v>
      </c>
      <c r="C17" s="82">
        <f>C3*(1-C13)*(1-C14)*(1+(9*C14)/4+(225*C16)/64)*PI()/180</f>
        <v>111132.95254791915</v>
      </c>
    </row>
    <row r="18" spans="2:3" ht="12.75" collapsed="1">
      <c r="B18" s="69"/>
      <c r="C18" s="82"/>
    </row>
    <row r="19" spans="2:3" ht="15.75">
      <c r="B19" s="81" t="s">
        <v>321</v>
      </c>
      <c r="C19" s="162" t="s">
        <v>69</v>
      </c>
    </row>
    <row r="20" spans="2:3" ht="12.75">
      <c r="B20" s="69" t="s">
        <v>322</v>
      </c>
      <c r="C20" s="169">
        <v>500000</v>
      </c>
    </row>
    <row r="21" spans="2:3" ht="12.75">
      <c r="B21" s="69" t="s">
        <v>323</v>
      </c>
      <c r="C21" s="169">
        <v>10000000</v>
      </c>
    </row>
    <row r="22" spans="2:3" ht="15.75">
      <c r="B22" s="69" t="s">
        <v>331</v>
      </c>
      <c r="C22" s="170">
        <v>0.9996</v>
      </c>
    </row>
    <row r="23" spans="2:3" ht="12.75">
      <c r="B23" s="69" t="s">
        <v>324</v>
      </c>
      <c r="C23" s="171">
        <v>6</v>
      </c>
    </row>
    <row r="24" spans="2:3" ht="38.25">
      <c r="B24" s="172" t="s">
        <v>325</v>
      </c>
      <c r="C24" s="173">
        <v>-177</v>
      </c>
    </row>
    <row r="25" spans="2:3" ht="26.25" hidden="1" outlineLevel="1">
      <c r="B25" s="174" t="s">
        <v>326</v>
      </c>
      <c r="C25" s="175">
        <f>C24-(1.5*C23)</f>
        <v>-186</v>
      </c>
    </row>
    <row r="26" spans="2:3" ht="12.75" hidden="1" outlineLevel="1">
      <c r="B26" t="s">
        <v>327</v>
      </c>
      <c r="C26" s="175">
        <f>C25+(C23/2)</f>
        <v>-183</v>
      </c>
    </row>
    <row r="27" ht="12.75" collapsed="1"/>
    <row r="34" ht="12.75">
      <c r="B34" s="121" t="s">
        <v>258</v>
      </c>
    </row>
    <row r="35" ht="12.75">
      <c r="B35" s="176" t="s">
        <v>259</v>
      </c>
    </row>
  </sheetData>
  <sheetProtection/>
  <printOptions/>
  <pageMargins left="0.75" right="0.75" top="1" bottom="1" header="0.5" footer="0.5"/>
  <pageSetup horizontalDpi="180" verticalDpi="180" orientation="portrait" paperSize="9" r:id="rId4"/>
  <headerFooter alignWithMargins="0">
    <oddHeader>&amp;C&amp;F&amp;RConstants &amp; Parameters</oddHeader>
    <oddFooter>&amp;L&amp;D&amp;CGDA Technical Manual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M51"/>
  <sheetViews>
    <sheetView showGridLines="0" zoomScalePageLayoutView="0" workbookViewId="0" topLeftCell="A1">
      <selection activeCell="K2" sqref="K2"/>
    </sheetView>
  </sheetViews>
  <sheetFormatPr defaultColWidth="9.140625" defaultRowHeight="12.75" outlineLevelRow="1" outlineLevelCol="1"/>
  <cols>
    <col min="1" max="1" width="2.28125" style="0" customWidth="1"/>
    <col min="2" max="2" width="20.140625" style="0" customWidth="1"/>
    <col min="3" max="3" width="6.57421875" style="0" customWidth="1"/>
    <col min="4" max="4" width="4.28125" style="0" customWidth="1"/>
    <col min="5" max="5" width="16.8515625" style="0" customWidth="1"/>
    <col min="6" max="6" width="17.28125" style="0" hidden="1" customWidth="1" outlineLevel="1"/>
    <col min="7" max="7" width="18.8515625" style="0" hidden="1" customWidth="1" outlineLevel="1"/>
    <col min="8" max="8" width="17.421875" style="0" customWidth="1" collapsed="1"/>
    <col min="9" max="9" width="6.28125" style="0" customWidth="1"/>
    <col min="10" max="10" width="6.421875" style="0" customWidth="1"/>
    <col min="11" max="11" width="21.140625" style="0" customWidth="1"/>
    <col min="12" max="12" width="19.421875" style="0" hidden="1" customWidth="1" outlineLevel="1"/>
    <col min="13" max="13" width="17.8515625" style="0" hidden="1" customWidth="1" outlineLevel="1"/>
    <col min="14" max="14" width="9.140625" style="0" customWidth="1" collapsed="1"/>
    <col min="15" max="15" width="16.28125" style="0" customWidth="1"/>
  </cols>
  <sheetData>
    <row r="2" spans="2:13" ht="17.25">
      <c r="B2" s="49" t="s">
        <v>228</v>
      </c>
      <c r="C2" s="50"/>
      <c r="D2" s="50"/>
      <c r="E2" s="50"/>
      <c r="F2" s="51"/>
      <c r="G2" s="51"/>
      <c r="H2" s="52" t="str">
        <f>UTMConstants!C19</f>
        <v>WGS84</v>
      </c>
      <c r="L2" s="53" t="s">
        <v>229</v>
      </c>
      <c r="M2" s="53" t="s">
        <v>230</v>
      </c>
    </row>
    <row r="3" spans="2:13" ht="12.75">
      <c r="B3" s="54"/>
      <c r="C3" s="55"/>
      <c r="D3" s="56"/>
      <c r="E3" s="57"/>
      <c r="F3" s="58" t="s">
        <v>229</v>
      </c>
      <c r="G3" s="58" t="s">
        <v>230</v>
      </c>
      <c r="H3" s="57"/>
      <c r="I3" s="55"/>
      <c r="J3" s="55"/>
      <c r="K3" s="59"/>
      <c r="L3" s="53"/>
      <c r="M3" s="53"/>
    </row>
    <row r="4" spans="2:13" ht="13.5" thickBot="1">
      <c r="B4" s="60" t="s">
        <v>77</v>
      </c>
      <c r="C4" s="61">
        <v>52</v>
      </c>
      <c r="D4" s="62">
        <v>39</v>
      </c>
      <c r="E4" s="63">
        <v>10.1561</v>
      </c>
      <c r="F4" s="64">
        <f>IF(C4&lt;0,-F5,IF(D4&lt;0,-F5,IF(E4&lt;0,-F5,F5)))</f>
        <v>51.76385</v>
      </c>
      <c r="G4" s="65">
        <f>(F4/180)*PI()</f>
        <v>0.9034496160084666</v>
      </c>
      <c r="H4" s="66" t="s">
        <v>78</v>
      </c>
      <c r="I4" s="61">
        <v>4</v>
      </c>
      <c r="J4" s="62">
        <v>55</v>
      </c>
      <c r="K4" s="67">
        <v>35.3839</v>
      </c>
      <c r="L4" s="64">
        <f>IF(I4&lt;0,-L5,IF(J4&lt;0,-L5,IF(K4&lt;0,-L5,L5)))</f>
        <v>5.494147</v>
      </c>
      <c r="M4" s="68">
        <f>(L4/180)*PI()</f>
        <v>0.09589095473856889</v>
      </c>
    </row>
    <row r="5" spans="2:12" ht="13.5" hidden="1" outlineLevel="1" thickBot="1">
      <c r="B5" s="69" t="s">
        <v>231</v>
      </c>
      <c r="C5" s="70">
        <f>(L4-UTMConstants!C25)/UTMConstants!C23</f>
        <v>31.915691166666665</v>
      </c>
      <c r="D5" s="64"/>
      <c r="E5" s="64"/>
      <c r="F5" s="71">
        <f>Calc!Q3</f>
        <v>51.76385</v>
      </c>
      <c r="G5" s="64"/>
      <c r="H5" s="66"/>
      <c r="I5" s="64"/>
      <c r="J5" s="64"/>
      <c r="K5" s="72"/>
      <c r="L5" s="71">
        <f>Calc!Q4</f>
        <v>5.494147</v>
      </c>
    </row>
    <row r="6" spans="2:13" ht="13.5" hidden="1" outlineLevel="1" thickBot="1">
      <c r="B6" s="69" t="s">
        <v>232</v>
      </c>
      <c r="C6" s="73">
        <f>(C7*UTMConstants!C23)+UTMConstants!C26</f>
        <v>3</v>
      </c>
      <c r="D6" s="64"/>
      <c r="E6" s="74"/>
      <c r="F6" s="75">
        <f>ABS(C4)+(ABS(D4)/60)+ABS(E4)/3600</f>
        <v>52.65282113888889</v>
      </c>
      <c r="G6" s="65"/>
      <c r="H6" s="66" t="s">
        <v>233</v>
      </c>
      <c r="I6" s="73">
        <f>TRUNC(L6,0)</f>
        <v>2</v>
      </c>
      <c r="J6" s="76">
        <f>TRUNC(((L6-I6)*60),0)</f>
        <v>29</v>
      </c>
      <c r="K6" s="77">
        <f>((L6-I6)-(J6/60))*3600</f>
        <v>38.9291999999996</v>
      </c>
      <c r="L6" s="78">
        <f>L4-C6</f>
        <v>2.494147</v>
      </c>
      <c r="M6" s="68">
        <f>(L6/180)*PI()</f>
        <v>0.04353107717873901</v>
      </c>
    </row>
    <row r="7" spans="2:12" ht="13.5" collapsed="1" thickBot="1">
      <c r="B7" s="79" t="s">
        <v>9</v>
      </c>
      <c r="C7" s="80">
        <f>TRUNC(C5)</f>
        <v>31</v>
      </c>
      <c r="D7" s="64"/>
      <c r="E7" s="74"/>
      <c r="F7" s="64">
        <f>C6</f>
        <v>3</v>
      </c>
      <c r="G7" s="65">
        <f>(F7/180)*PI()</f>
        <v>0.05235987755982988</v>
      </c>
      <c r="H7" s="64"/>
      <c r="I7" s="64"/>
      <c r="J7" s="64"/>
      <c r="K7" s="64"/>
      <c r="L7" s="75">
        <f>ABS(I4)+(ABS(J4)/60)+ABS(K4)/3600</f>
        <v>4.926495527777778</v>
      </c>
    </row>
    <row r="8" spans="2:11" ht="12.75" hidden="1" outlineLevel="1">
      <c r="B8" s="81" t="s">
        <v>234</v>
      </c>
      <c r="C8" s="64"/>
      <c r="D8" s="64"/>
      <c r="E8" s="64"/>
      <c r="F8" s="64"/>
      <c r="G8" s="64"/>
      <c r="H8" s="64"/>
      <c r="I8" s="64"/>
      <c r="J8" s="64"/>
      <c r="K8" s="82"/>
    </row>
    <row r="9" spans="2:13" ht="12.75" hidden="1" outlineLevel="1">
      <c r="B9" s="69" t="s">
        <v>235</v>
      </c>
      <c r="C9" s="64"/>
      <c r="D9" s="64"/>
      <c r="E9" s="65">
        <f>SIN(G4)</f>
        <v>0.7854665603402372</v>
      </c>
      <c r="F9" s="64"/>
      <c r="G9" s="64"/>
      <c r="H9" s="64"/>
      <c r="I9" s="64"/>
      <c r="J9" s="64"/>
      <c r="K9" s="82"/>
      <c r="L9" s="53" t="s">
        <v>236</v>
      </c>
      <c r="M9" s="68">
        <f>1-(K10/4)-((3*K11)/64)-((5*K12)/256)</f>
        <v>0.9983242984527954</v>
      </c>
    </row>
    <row r="10" spans="2:13" ht="15" hidden="1" outlineLevel="1">
      <c r="B10" s="69" t="s">
        <v>237</v>
      </c>
      <c r="C10" s="64"/>
      <c r="D10" s="64"/>
      <c r="E10" s="65">
        <f>SIN(2*G4)</f>
        <v>0.9722569461569416</v>
      </c>
      <c r="F10" s="64"/>
      <c r="G10" s="64"/>
      <c r="H10" s="66" t="s">
        <v>295</v>
      </c>
      <c r="I10" s="64"/>
      <c r="J10" s="64"/>
      <c r="K10" s="83">
        <f>UTMConstants!C8</f>
        <v>0.0066943799901413165</v>
      </c>
      <c r="L10" s="53" t="s">
        <v>190</v>
      </c>
      <c r="M10" s="68">
        <f>(3/8)*(K10+(K11/4)+((15*K12)/128))</f>
        <v>0.002514607060518705</v>
      </c>
    </row>
    <row r="11" spans="2:13" ht="15" hidden="1" outlineLevel="1">
      <c r="B11" s="69" t="s">
        <v>238</v>
      </c>
      <c r="C11" s="64"/>
      <c r="D11" s="64"/>
      <c r="E11" s="65">
        <f>SIN(4*G4)</f>
        <v>-0.45485181264472435</v>
      </c>
      <c r="F11" s="64"/>
      <c r="G11" s="64"/>
      <c r="H11" s="66" t="s">
        <v>296</v>
      </c>
      <c r="I11" s="64"/>
      <c r="J11" s="64"/>
      <c r="K11" s="83">
        <f>K10*K10</f>
        <v>4.481472345240445E-05</v>
      </c>
      <c r="L11" s="53" t="s">
        <v>191</v>
      </c>
      <c r="M11" s="68">
        <f>(15/256)*(K11+((3*K12)/4))</f>
        <v>2.6390465943376213E-06</v>
      </c>
    </row>
    <row r="12" spans="2:13" ht="15" hidden="1" outlineLevel="1">
      <c r="B12" s="69" t="s">
        <v>239</v>
      </c>
      <c r="C12" s="64"/>
      <c r="D12" s="64"/>
      <c r="E12" s="65">
        <f>SIN(6*G4)</f>
        <v>-0.7594632270850747</v>
      </c>
      <c r="F12" s="64"/>
      <c r="G12" s="64"/>
      <c r="H12" s="66" t="s">
        <v>297</v>
      </c>
      <c r="I12" s="64"/>
      <c r="J12" s="64"/>
      <c r="K12" s="83">
        <f>K10*K11</f>
        <v>3.000067879434931E-07</v>
      </c>
      <c r="L12" s="53" t="s">
        <v>193</v>
      </c>
      <c r="M12" s="68">
        <f>(35*K12)/3072</f>
        <v>3.4180460865957874E-09</v>
      </c>
    </row>
    <row r="13" spans="2:11" ht="12.75" hidden="1" outlineLevel="1">
      <c r="B13" s="69"/>
      <c r="C13" s="64"/>
      <c r="D13" s="64"/>
      <c r="E13" s="64"/>
      <c r="F13" s="64"/>
      <c r="G13" s="64"/>
      <c r="H13" s="64"/>
      <c r="I13" s="64"/>
      <c r="J13" s="64"/>
      <c r="K13" s="82"/>
    </row>
    <row r="14" spans="2:11" ht="12.75" hidden="1" outlineLevel="1">
      <c r="B14" s="81" t="s">
        <v>240</v>
      </c>
      <c r="C14" s="64"/>
      <c r="D14" s="64"/>
      <c r="E14" s="64"/>
      <c r="F14" s="64"/>
      <c r="G14" s="64"/>
      <c r="H14" s="84" t="s">
        <v>241</v>
      </c>
      <c r="I14" s="64"/>
      <c r="J14" s="84"/>
      <c r="K14" s="82"/>
    </row>
    <row r="15" spans="2:11" ht="12.75" hidden="1" outlineLevel="1">
      <c r="B15" s="69" t="s">
        <v>242</v>
      </c>
      <c r="C15" s="64"/>
      <c r="D15" s="64"/>
      <c r="E15" s="85">
        <f>(UTMConstants!C3)*M9*G4</f>
        <v>5752669.485871739</v>
      </c>
      <c r="F15" s="64"/>
      <c r="G15" s="64"/>
      <c r="H15" s="66" t="s">
        <v>243</v>
      </c>
      <c r="I15" s="64"/>
      <c r="J15" s="64"/>
      <c r="K15" s="72">
        <f>UTMConstants!C3*(1-K10)/(1-(K10*E9*E9))^1.5</f>
        <v>6374892.407324944</v>
      </c>
    </row>
    <row r="16" spans="2:11" ht="12.75" hidden="1" outlineLevel="1">
      <c r="B16" s="69" t="s">
        <v>244</v>
      </c>
      <c r="C16" s="64"/>
      <c r="D16" s="64"/>
      <c r="E16" s="86">
        <f>-(UTMConstants!C3)*M10*E10</f>
        <v>-15593.551132906514</v>
      </c>
      <c r="F16" s="64"/>
      <c r="G16" s="64"/>
      <c r="H16" s="66" t="s">
        <v>245</v>
      </c>
      <c r="I16" s="64"/>
      <c r="J16" s="64"/>
      <c r="K16" s="72">
        <f>UTMConstants!C3/(1-(K10*E9*E9))^0.5</f>
        <v>6391349.269947915</v>
      </c>
    </row>
    <row r="17" spans="2:11" ht="12.75" hidden="1" outlineLevel="1">
      <c r="B17" s="69" t="s">
        <v>246</v>
      </c>
      <c r="C17" s="64"/>
      <c r="D17" s="64"/>
      <c r="E17" s="87">
        <f>(UTMConstants!C3)*M11*E11</f>
        <v>-7.65615701196193</v>
      </c>
      <c r="F17" s="64"/>
      <c r="G17" s="64"/>
      <c r="H17" s="64"/>
      <c r="I17" s="64"/>
      <c r="J17" s="64"/>
      <c r="K17" s="82"/>
    </row>
    <row r="18" spans="2:11" ht="12.75" hidden="1" outlineLevel="1">
      <c r="B18" s="69" t="s">
        <v>247</v>
      </c>
      <c r="C18" s="64"/>
      <c r="D18" s="64"/>
      <c r="E18" s="87">
        <f>-(UTMConstants!C3)*M12*E12</f>
        <v>0.01655688026076501</v>
      </c>
      <c r="F18" s="64"/>
      <c r="G18" s="64"/>
      <c r="H18" s="64"/>
      <c r="I18" s="64"/>
      <c r="J18" s="64"/>
      <c r="K18" s="82"/>
    </row>
    <row r="19" spans="2:11" ht="12.75" hidden="1" outlineLevel="1">
      <c r="B19" s="69" t="s">
        <v>248</v>
      </c>
      <c r="C19" s="64"/>
      <c r="D19" s="64"/>
      <c r="E19" s="85">
        <f>E15+E16+E17+E18</f>
        <v>5737068.295138701</v>
      </c>
      <c r="F19" s="64"/>
      <c r="G19" s="64"/>
      <c r="H19" s="64"/>
      <c r="I19" s="64"/>
      <c r="J19" s="64"/>
      <c r="K19" s="82"/>
    </row>
    <row r="20" spans="2:11" ht="12.75" hidden="1" outlineLevel="1">
      <c r="B20" s="69"/>
      <c r="C20" s="64"/>
      <c r="D20" s="64"/>
      <c r="E20" s="64"/>
      <c r="F20" s="64"/>
      <c r="G20" s="64"/>
      <c r="H20" s="64"/>
      <c r="I20" s="64"/>
      <c r="J20" s="64"/>
      <c r="K20" s="82"/>
    </row>
    <row r="21" spans="2:13" ht="12.75" hidden="1" outlineLevel="1">
      <c r="B21" s="81" t="s">
        <v>249</v>
      </c>
      <c r="C21" s="64"/>
      <c r="D21" s="64"/>
      <c r="E21" s="88" t="s">
        <v>250</v>
      </c>
      <c r="F21" s="64"/>
      <c r="G21" s="64"/>
      <c r="H21" s="88" t="s">
        <v>251</v>
      </c>
      <c r="I21" s="64"/>
      <c r="J21" s="64"/>
      <c r="K21" s="89" t="s">
        <v>252</v>
      </c>
      <c r="M21" s="90" t="s">
        <v>298</v>
      </c>
    </row>
    <row r="22" spans="2:13" ht="12.75" hidden="1" outlineLevel="1">
      <c r="B22" s="91">
        <v>1</v>
      </c>
      <c r="C22" s="64"/>
      <c r="D22" s="64"/>
      <c r="E22" s="92">
        <f>COS(G4)</f>
        <v>0.6189040980533871</v>
      </c>
      <c r="F22" s="65"/>
      <c r="G22" s="64"/>
      <c r="H22" s="65">
        <f>M6</f>
        <v>0.04353107717873901</v>
      </c>
      <c r="I22" s="64"/>
      <c r="J22" s="64"/>
      <c r="K22" s="93">
        <f>TAN(G4)</f>
        <v>1.2691248334123688</v>
      </c>
      <c r="M22" s="68">
        <f>K16/K15</f>
        <v>1.0025815122156512</v>
      </c>
    </row>
    <row r="23" spans="2:13" ht="12.75" hidden="1" outlineLevel="1">
      <c r="B23" s="91">
        <v>2</v>
      </c>
      <c r="C23" s="64"/>
      <c r="D23" s="64"/>
      <c r="E23" s="92">
        <f>E22*E22</f>
        <v>0.3830422825872766</v>
      </c>
      <c r="F23" s="92"/>
      <c r="G23" s="92"/>
      <c r="H23" s="94">
        <f>H22*H22</f>
        <v>0.0018949546803413324</v>
      </c>
      <c r="I23" s="64"/>
      <c r="J23" s="64"/>
      <c r="K23" s="93">
        <f>K22*K22</f>
        <v>1.610677842783973</v>
      </c>
      <c r="M23" s="68">
        <f>M22*M22</f>
        <v>1.005169688636622</v>
      </c>
    </row>
    <row r="24" spans="2:13" ht="12.75" hidden="1" outlineLevel="1">
      <c r="B24" s="91">
        <v>3</v>
      </c>
      <c r="C24" s="64"/>
      <c r="D24" s="64"/>
      <c r="E24" s="92">
        <f>E23*E22</f>
        <v>0.237066438420989</v>
      </c>
      <c r="F24" s="92"/>
      <c r="G24" s="92"/>
      <c r="H24" s="94">
        <f>H23*H22</f>
        <v>8.248941844015125E-05</v>
      </c>
      <c r="I24" s="64"/>
      <c r="J24" s="64"/>
      <c r="K24" s="93"/>
      <c r="M24" s="68">
        <f>M22*M23</f>
        <v>1.0077645464666396</v>
      </c>
    </row>
    <row r="25" spans="2:13" ht="12.75" hidden="1" outlineLevel="1">
      <c r="B25" s="91">
        <v>4</v>
      </c>
      <c r="C25" s="64"/>
      <c r="D25" s="64"/>
      <c r="E25" s="92">
        <f>E23*E23</f>
        <v>0.14672139024967104</v>
      </c>
      <c r="F25" s="92"/>
      <c r="G25" s="92"/>
      <c r="H25" s="94">
        <f>H23*H23</f>
        <v>3.5908532405475212E-06</v>
      </c>
      <c r="I25" s="64"/>
      <c r="J25" s="64"/>
      <c r="K25" s="93">
        <f>K23*K23</f>
        <v>2.5942831132352326</v>
      </c>
      <c r="M25" s="68">
        <f>M23*M23</f>
        <v>1.0103661029538435</v>
      </c>
    </row>
    <row r="26" spans="2:11" ht="12.75" hidden="1" outlineLevel="1">
      <c r="B26" s="91">
        <v>5</v>
      </c>
      <c r="C26" s="64"/>
      <c r="D26" s="64"/>
      <c r="E26" s="92">
        <f>E24*E23</f>
        <v>0.09080646969761168</v>
      </c>
      <c r="F26" s="92"/>
      <c r="G26" s="92"/>
      <c r="H26" s="94">
        <f>H24*H23</f>
        <v>1.5631370955179923E-07</v>
      </c>
      <c r="I26" s="64"/>
      <c r="J26" s="64"/>
      <c r="K26" s="93"/>
    </row>
    <row r="27" spans="2:11" ht="12.75" hidden="1" outlineLevel="1">
      <c r="B27" s="91">
        <v>6</v>
      </c>
      <c r="C27" s="64"/>
      <c r="D27" s="64"/>
      <c r="E27" s="92">
        <f>E24*E24</f>
        <v>0.05620049622561257</v>
      </c>
      <c r="F27" s="92"/>
      <c r="G27" s="92"/>
      <c r="H27" s="94">
        <f>H24*H24</f>
        <v>6.804504154594365E-09</v>
      </c>
      <c r="I27" s="64"/>
      <c r="J27" s="64"/>
      <c r="K27" s="93">
        <f>K23*K25</f>
        <v>4.178554328396614</v>
      </c>
    </row>
    <row r="28" spans="2:11" ht="12.75" hidden="1" outlineLevel="1">
      <c r="B28" s="91">
        <v>7</v>
      </c>
      <c r="C28" s="64"/>
      <c r="D28" s="64"/>
      <c r="E28" s="92">
        <f>E27*E22</f>
        <v>0.034782717426665534</v>
      </c>
      <c r="F28" s="92"/>
      <c r="G28" s="92"/>
      <c r="H28" s="94">
        <f>H27*H22</f>
        <v>2.962073955166975E-10</v>
      </c>
      <c r="I28" s="64"/>
      <c r="J28" s="64"/>
      <c r="K28" s="82"/>
    </row>
    <row r="29" spans="2:11" ht="12.75" hidden="1" outlineLevel="1">
      <c r="B29" s="91">
        <v>8</v>
      </c>
      <c r="C29" s="64"/>
      <c r="D29" s="64"/>
      <c r="E29" s="92"/>
      <c r="F29" s="64"/>
      <c r="G29" s="64"/>
      <c r="H29" s="94">
        <f>H25*H25</f>
        <v>1.2894226995150635E-11</v>
      </c>
      <c r="I29" s="64"/>
      <c r="J29" s="64"/>
      <c r="K29" s="82"/>
    </row>
    <row r="30" spans="2:11" ht="12.75" hidden="1" outlineLevel="1">
      <c r="B30" s="69"/>
      <c r="C30" s="64"/>
      <c r="D30" s="64"/>
      <c r="E30" s="64"/>
      <c r="F30" s="64"/>
      <c r="G30" s="64"/>
      <c r="H30" s="64"/>
      <c r="I30" s="64"/>
      <c r="J30" s="64"/>
      <c r="K30" s="82"/>
    </row>
    <row r="31" spans="2:11" ht="12.75" hidden="1" outlineLevel="1">
      <c r="B31" s="81" t="s">
        <v>12</v>
      </c>
      <c r="C31" s="64"/>
      <c r="D31" s="64"/>
      <c r="E31" s="64"/>
      <c r="F31" s="64"/>
      <c r="G31" s="64"/>
      <c r="H31" s="64"/>
      <c r="I31" s="84" t="s">
        <v>13</v>
      </c>
      <c r="J31" s="64"/>
      <c r="K31" s="82"/>
    </row>
    <row r="32" spans="2:11" ht="12.75" hidden="1" outlineLevel="1">
      <c r="B32" s="81"/>
      <c r="C32" s="64"/>
      <c r="D32" s="64"/>
      <c r="E32" s="64"/>
      <c r="F32" s="64"/>
      <c r="G32" s="64"/>
      <c r="H32" s="95" t="s">
        <v>253</v>
      </c>
      <c r="I32" s="96"/>
      <c r="J32" s="95"/>
      <c r="K32" s="97">
        <f>E19</f>
        <v>5737068.295138701</v>
      </c>
    </row>
    <row r="33" spans="2:11" ht="12.75" hidden="1" outlineLevel="1">
      <c r="B33" s="69" t="s">
        <v>242</v>
      </c>
      <c r="C33" s="64"/>
      <c r="D33" s="64"/>
      <c r="E33" s="85">
        <f>K16*H22*E22</f>
        <v>172192.93299448863</v>
      </c>
      <c r="F33" s="64"/>
      <c r="G33" s="64"/>
      <c r="I33" s="64" t="s">
        <v>242</v>
      </c>
      <c r="J33" s="64"/>
      <c r="K33" s="98">
        <f>K16*E9*H23*E22/2</f>
        <v>2943.8280718098345</v>
      </c>
    </row>
    <row r="34" spans="2:11" ht="12.75" hidden="1" outlineLevel="1">
      <c r="B34" s="69" t="s">
        <v>244</v>
      </c>
      <c r="C34" s="64"/>
      <c r="D34" s="64"/>
      <c r="E34" s="87">
        <f>K16*H24*E24*(M22-K23)/6</f>
        <v>-12.667240043649628</v>
      </c>
      <c r="F34" s="64"/>
      <c r="G34" s="64"/>
      <c r="I34" s="99" t="s">
        <v>244</v>
      </c>
      <c r="J34" s="64"/>
      <c r="K34" s="100">
        <f>K16*E9*H25*E24*(4*M23+M22-K23)/24</f>
        <v>0.6076589383846418</v>
      </c>
    </row>
    <row r="35" spans="2:11" ht="12.75" hidden="1" outlineLevel="1">
      <c r="B35" s="69" t="s">
        <v>246</v>
      </c>
      <c r="C35" s="64"/>
      <c r="D35" s="64"/>
      <c r="E35" s="87">
        <f>K16*H26*E26*(4*M24*(1-6*K23)+M23*(1+8*K23)-M22*(2*K23)+K25)/120</f>
        <v>-0.01633240371248989</v>
      </c>
      <c r="F35" s="64"/>
      <c r="G35" s="64"/>
      <c r="I35" s="99" t="s">
        <v>246</v>
      </c>
      <c r="J35" s="64"/>
      <c r="K35" s="100">
        <f>K16*E9*H27*E26*(8*M25*(11-24*K23)-28*M24*(1-6*K23)+M23*(1-32*K23)-M22*(2*K23)+K25)/720</f>
        <v>-0.00013142106518241212</v>
      </c>
    </row>
    <row r="36" spans="2:11" ht="12.75" hidden="1" outlineLevel="1">
      <c r="B36" s="69" t="s">
        <v>247</v>
      </c>
      <c r="C36" s="64"/>
      <c r="D36" s="64"/>
      <c r="E36" s="64">
        <f>K16*H28*E28*(61-479*K23+179*K25-K27)/5040</f>
        <v>-3.270476321973925E-06</v>
      </c>
      <c r="F36" s="64"/>
      <c r="G36" s="64"/>
      <c r="I36" s="99" t="s">
        <v>247</v>
      </c>
      <c r="J36" s="64"/>
      <c r="K36" s="82">
        <f>K16*E9*H29*E28*(1385-3111*K23+543*K25-K27)/40320</f>
        <v>-1.2404123350942975E-07</v>
      </c>
    </row>
    <row r="37" spans="2:11" ht="12.75" hidden="1" outlineLevel="1">
      <c r="B37" s="69" t="s">
        <v>254</v>
      </c>
      <c r="C37" s="64"/>
      <c r="D37" s="64"/>
      <c r="E37" s="85">
        <f>SUM(E33:E36)</f>
        <v>172180.2494187708</v>
      </c>
      <c r="F37" s="64"/>
      <c r="G37" s="64"/>
      <c r="I37" s="99" t="s">
        <v>254</v>
      </c>
      <c r="J37" s="64"/>
      <c r="K37" s="97">
        <f>SUM(K32:K36)</f>
        <v>5740012.730737904</v>
      </c>
    </row>
    <row r="38" spans="2:11" ht="15" hidden="1" outlineLevel="1">
      <c r="B38" s="69" t="s">
        <v>299</v>
      </c>
      <c r="C38" s="64"/>
      <c r="D38" s="64"/>
      <c r="E38" s="85">
        <f>UTMConstants!C22*E37</f>
        <v>172111.3773190033</v>
      </c>
      <c r="F38" s="64"/>
      <c r="G38" s="64"/>
      <c r="I38" s="99" t="s">
        <v>299</v>
      </c>
      <c r="J38" s="64"/>
      <c r="K38" s="97">
        <f>UTMConstants!C22*K37</f>
        <v>5737716.725645609</v>
      </c>
    </row>
    <row r="39" spans="2:11" ht="12.75" hidden="1" outlineLevel="1">
      <c r="B39" s="69" t="s">
        <v>255</v>
      </c>
      <c r="C39" s="64"/>
      <c r="D39" s="64"/>
      <c r="E39" s="85">
        <f>UTMConstants!C20</f>
        <v>500000</v>
      </c>
      <c r="F39" s="64"/>
      <c r="G39" s="64"/>
      <c r="I39" s="99" t="s">
        <v>255</v>
      </c>
      <c r="J39" s="64"/>
      <c r="K39" s="97">
        <f>UTMConstants!C21</f>
        <v>10000000</v>
      </c>
    </row>
    <row r="40" spans="2:11" ht="12.75" collapsed="1">
      <c r="B40" s="101" t="s">
        <v>12</v>
      </c>
      <c r="C40" s="102"/>
      <c r="D40" s="102"/>
      <c r="E40" s="103">
        <f>E38+E39</f>
        <v>672111.3773190033</v>
      </c>
      <c r="F40" s="64"/>
      <c r="G40" s="64"/>
      <c r="I40" s="104" t="s">
        <v>13</v>
      </c>
      <c r="J40" s="102"/>
      <c r="K40" s="105">
        <f>K38+K39</f>
        <v>15737716.72564561</v>
      </c>
    </row>
    <row r="41" spans="2:11" ht="12.75" hidden="1" outlineLevel="1">
      <c r="B41" s="106" t="s">
        <v>256</v>
      </c>
      <c r="C41" s="7"/>
      <c r="D41" s="7"/>
      <c r="E41" s="7"/>
      <c r="F41" s="64"/>
      <c r="G41" s="64"/>
      <c r="H41" s="64"/>
      <c r="I41" s="107" t="s">
        <v>257</v>
      </c>
      <c r="J41" s="107"/>
      <c r="K41" s="108"/>
    </row>
    <row r="42" spans="2:11" ht="12.75" hidden="1" outlineLevel="1">
      <c r="B42" s="17" t="s">
        <v>242</v>
      </c>
      <c r="C42" s="109">
        <f>TRUNC(F42)</f>
        <v>-1</v>
      </c>
      <c r="D42" s="110">
        <f>TRUNC((F42-C42)*60)</f>
        <v>-57</v>
      </c>
      <c r="E42" s="111">
        <f>(F42-C42-(D42/60))*3600</f>
        <v>-32.64863426251816</v>
      </c>
      <c r="F42" s="78">
        <f>(G42/PI())*180</f>
        <v>-1.9590690650729217</v>
      </c>
      <c r="G42" s="94">
        <f>-E9*H22</f>
        <v>-0.034192205459489526</v>
      </c>
      <c r="H42" s="64"/>
      <c r="I42" s="7" t="s">
        <v>242</v>
      </c>
      <c r="J42" s="7"/>
      <c r="K42" s="112">
        <f>1+(H23*E23*M22)/2</f>
        <v>1.0003638607755163</v>
      </c>
    </row>
    <row r="43" spans="2:11" ht="12.75" hidden="1" outlineLevel="1">
      <c r="B43" s="17" t="s">
        <v>244</v>
      </c>
      <c r="C43" s="109">
        <f>TRUNC(F43)</f>
        <v>0</v>
      </c>
      <c r="D43" s="110">
        <f>TRUNC((F43-C43)*60)</f>
        <v>0</v>
      </c>
      <c r="E43" s="111">
        <f>(F43-C43-(D43/60))*3600</f>
        <v>-1.7196209752717784</v>
      </c>
      <c r="F43" s="78">
        <f>(G43/PI())*180</f>
        <v>-0.00047767249313104956</v>
      </c>
      <c r="G43" s="94">
        <f>-E9*H24*E23*(2*M23-M22)/3</f>
        <v>-8.336957751346812E-06</v>
      </c>
      <c r="H43" s="64"/>
      <c r="I43" s="7" t="s">
        <v>244</v>
      </c>
      <c r="J43" s="7"/>
      <c r="K43" s="18">
        <f>H25*E25*(4*M24*(1-6*K23)+M23*(1+24*K23)-4*M22*K23)/24</f>
        <v>-3.344262374779869E-08</v>
      </c>
    </row>
    <row r="44" spans="2:11" ht="12.75" hidden="1" outlineLevel="1">
      <c r="B44" s="17" t="s">
        <v>246</v>
      </c>
      <c r="C44" s="109">
        <f>TRUNC(F44)</f>
        <v>0</v>
      </c>
      <c r="D44" s="110">
        <f>TRUNC((F44-C44)*60)</f>
        <v>0</v>
      </c>
      <c r="E44" s="111">
        <f>(F44-C44-(D44/60))*3600</f>
        <v>-9.05077132204072E-05</v>
      </c>
      <c r="F44" s="78">
        <f>(G44/PI())*180</f>
        <v>-2.5141031450113113E-08</v>
      </c>
      <c r="G44" s="66">
        <f>-E9*H26*E25*(M25*(11-24*K23)-M24*(11-36*K23)+2*M23*(1-7*K23)+M22*K23)/15</f>
        <v>-4.3879377615191834E-10</v>
      </c>
      <c r="H44" s="64"/>
      <c r="I44" s="7" t="s">
        <v>246</v>
      </c>
      <c r="J44" s="7"/>
      <c r="K44" s="18">
        <f>H27*E27*(61-148*K23+16*K25)/720</f>
        <v>-7.21661334708089E-11</v>
      </c>
    </row>
    <row r="45" spans="2:11" ht="12.75" hidden="1" outlineLevel="1">
      <c r="B45" s="17" t="s">
        <v>247</v>
      </c>
      <c r="C45" s="109">
        <f>TRUNC(F45)</f>
        <v>0</v>
      </c>
      <c r="D45" s="110">
        <f>TRUNC((F45-C45)*60)</f>
        <v>0</v>
      </c>
      <c r="E45" s="111">
        <f>(F45-C45-(D45/60))*3600</f>
        <v>-1.6857891683811817E-07</v>
      </c>
      <c r="F45" s="78">
        <f>(G45/PI())*180</f>
        <v>-4.682747689947727E-11</v>
      </c>
      <c r="G45" s="66">
        <f>E9*H28*E27*(17-26*K23+2*K25)/315</f>
        <v>-8.17293652297464E-13</v>
      </c>
      <c r="H45" s="64"/>
      <c r="I45" s="7" t="s">
        <v>254</v>
      </c>
      <c r="J45" s="7"/>
      <c r="K45" s="112">
        <f>SUM(K42:K44)</f>
        <v>1.0003638272607265</v>
      </c>
    </row>
    <row r="46" spans="2:11" ht="12.75" collapsed="1">
      <c r="B46" s="101" t="s">
        <v>256</v>
      </c>
      <c r="C46" s="113">
        <f>TRUNC(F46)</f>
        <v>-1</v>
      </c>
      <c r="D46" s="114">
        <f>TRUNC((F46-C46)*60)</f>
        <v>-57</v>
      </c>
      <c r="E46" s="115">
        <f>(F46-C46-(D46/60))*3600</f>
        <v>-34.368345914081914</v>
      </c>
      <c r="F46" s="78">
        <f>(G46/PI())*180</f>
        <v>-1.9595467627539116</v>
      </c>
      <c r="G46" s="94">
        <f>SUM(G42:G45)</f>
        <v>-0.034200542856851944</v>
      </c>
      <c r="H46" s="64"/>
      <c r="I46" s="116" t="s">
        <v>257</v>
      </c>
      <c r="J46" s="102"/>
      <c r="K46" s="117">
        <f>UTMConstants!C22*K45</f>
        <v>0.9999636817298222</v>
      </c>
    </row>
    <row r="47" spans="2:11" ht="12.75">
      <c r="B47" s="118"/>
      <c r="C47" s="119"/>
      <c r="D47" s="119"/>
      <c r="E47" s="119"/>
      <c r="F47" s="119"/>
      <c r="G47" s="119"/>
      <c r="H47" s="119"/>
      <c r="I47" s="119"/>
      <c r="J47" s="119"/>
      <c r="K47" s="120"/>
    </row>
    <row r="49" ht="12.75">
      <c r="K49" s="121" t="s">
        <v>258</v>
      </c>
    </row>
    <row r="50" ht="12.75">
      <c r="K50" s="122" t="s">
        <v>259</v>
      </c>
    </row>
    <row r="51" ht="12.75">
      <c r="K51" s="123" t="s">
        <v>260</v>
      </c>
    </row>
  </sheetData>
  <sheetProtection/>
  <printOptions/>
  <pageMargins left="0.25" right="0.13" top="0.76" bottom="0.71" header="0.5" footer="0.5"/>
  <pageSetup fitToHeight="1" fitToWidth="1" horizontalDpi="180" verticalDpi="180" orientation="portrait" paperSize="9" r:id="rId2"/>
  <headerFooter alignWithMargins="0">
    <oddHeader>&amp;C&amp;F&amp;RLat/Long to E,N Zone</oddHeader>
    <oddFooter>&amp;L&amp;D&amp;CGDA Technical Mmanual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Q53"/>
  <sheetViews>
    <sheetView showGridLines="0" zoomScalePageLayoutView="0" workbookViewId="0" topLeftCell="A1">
      <selection activeCell="K2" sqref="K2"/>
    </sheetView>
  </sheetViews>
  <sheetFormatPr defaultColWidth="9.140625" defaultRowHeight="12.75" outlineLevelRow="1" outlineLevelCol="1"/>
  <cols>
    <col min="1" max="1" width="2.57421875" style="0" customWidth="1"/>
    <col min="2" max="2" width="17.140625" style="0" customWidth="1"/>
    <col min="3" max="3" width="8.57421875" style="0" customWidth="1"/>
    <col min="4" max="4" width="3.7109375" style="0" customWidth="1"/>
    <col min="5" max="5" width="12.00390625" style="0" customWidth="1"/>
    <col min="6" max="6" width="15.57421875" style="0" hidden="1" customWidth="1" outlineLevel="1"/>
    <col min="7" max="7" width="20.8515625" style="0" hidden="1" customWidth="1" outlineLevel="1"/>
    <col min="8" max="8" width="14.140625" style="0" hidden="1" customWidth="1" outlineLevel="1"/>
    <col min="9" max="9" width="14.57421875" style="0" hidden="1" customWidth="1" outlineLevel="1"/>
    <col min="10" max="10" width="17.00390625" style="0" hidden="1" customWidth="1" outlineLevel="1"/>
    <col min="11" max="11" width="14.00390625" style="0" customWidth="1" collapsed="1"/>
    <col min="12" max="12" width="17.57421875" style="0" customWidth="1"/>
    <col min="13" max="13" width="5.28125" style="0" customWidth="1"/>
    <col min="14" max="14" width="4.140625" style="0" customWidth="1"/>
    <col min="15" max="15" width="15.7109375" style="0" customWidth="1"/>
    <col min="16" max="16" width="15.7109375" style="0" hidden="1" customWidth="1" outlineLevel="1"/>
    <col min="17" max="17" width="14.57421875" style="0" hidden="1" customWidth="1" outlineLevel="1"/>
    <col min="18" max="18" width="9.140625" style="0" customWidth="1" collapsed="1"/>
  </cols>
  <sheetData>
    <row r="2" spans="2:12" ht="17.25">
      <c r="B2" s="49" t="s">
        <v>261</v>
      </c>
      <c r="C2" s="50"/>
      <c r="D2" s="50"/>
      <c r="E2" s="50"/>
      <c r="F2" s="124"/>
      <c r="G2" s="124"/>
      <c r="L2" s="52" t="str">
        <f>UTMConstants!C19</f>
        <v>WGS84</v>
      </c>
    </row>
    <row r="3" spans="2:15" ht="15">
      <c r="B3" s="125" t="s">
        <v>9</v>
      </c>
      <c r="C3" s="126"/>
      <c r="D3" s="57"/>
      <c r="E3" s="127">
        <f>Calc!Q7</f>
        <v>31</v>
      </c>
      <c r="F3" s="126"/>
      <c r="G3" s="57"/>
      <c r="H3" s="57"/>
      <c r="I3" s="57"/>
      <c r="J3" s="57"/>
      <c r="K3" s="57"/>
      <c r="L3" s="57"/>
      <c r="M3" s="57"/>
      <c r="N3" s="57"/>
      <c r="O3" s="59"/>
    </row>
    <row r="4" spans="2:15" ht="12.75">
      <c r="B4" s="128" t="s">
        <v>12</v>
      </c>
      <c r="C4" s="84"/>
      <c r="D4" s="64"/>
      <c r="E4" s="129">
        <f>Calc!Q8</f>
        <v>649333.2800457407</v>
      </c>
      <c r="F4" s="84"/>
      <c r="G4" s="64"/>
      <c r="H4" s="64"/>
      <c r="I4" s="64"/>
      <c r="J4" s="64"/>
      <c r="K4" s="64"/>
      <c r="L4" s="84" t="s">
        <v>13</v>
      </c>
      <c r="M4" s="64"/>
      <c r="N4" s="64"/>
      <c r="O4" s="130">
        <f>Calc!Q9</f>
        <v>15818927.034043495</v>
      </c>
    </row>
    <row r="5" spans="2:15" ht="12.75" hidden="1" outlineLevel="1">
      <c r="B5" s="131" t="s">
        <v>255</v>
      </c>
      <c r="C5" s="64"/>
      <c r="D5" s="64"/>
      <c r="E5" s="132">
        <f>UTMConstants!C20</f>
        <v>500000</v>
      </c>
      <c r="F5" s="64"/>
      <c r="G5" s="66"/>
      <c r="H5" s="64"/>
      <c r="I5" s="64"/>
      <c r="J5" s="64"/>
      <c r="K5" s="133" t="s">
        <v>262</v>
      </c>
      <c r="L5" s="132">
        <f>UTMConstants!C21</f>
        <v>10000000</v>
      </c>
      <c r="M5" s="64"/>
      <c r="N5" s="64"/>
      <c r="O5" s="82"/>
    </row>
    <row r="6" spans="2:15" ht="12.75" hidden="1" outlineLevel="1">
      <c r="B6" s="131" t="s">
        <v>263</v>
      </c>
      <c r="C6" s="64"/>
      <c r="D6" s="64"/>
      <c r="E6" s="132">
        <f>E4-E5</f>
        <v>149333.28004574066</v>
      </c>
      <c r="F6" s="64"/>
      <c r="G6" s="66"/>
      <c r="H6" s="64"/>
      <c r="I6" s="64"/>
      <c r="J6" s="64"/>
      <c r="K6" s="133" t="s">
        <v>264</v>
      </c>
      <c r="L6" s="132">
        <f>O4-L5</f>
        <v>5818927.034043495</v>
      </c>
      <c r="M6" s="64"/>
      <c r="N6" s="64"/>
      <c r="O6" s="82"/>
    </row>
    <row r="7" spans="2:15" ht="15" hidden="1" outlineLevel="1">
      <c r="B7" s="131" t="s">
        <v>300</v>
      </c>
      <c r="C7" s="64"/>
      <c r="D7" s="64"/>
      <c r="E7" s="132">
        <f>E6/UTMConstants!C22</f>
        <v>149393.0372606449</v>
      </c>
      <c r="F7" s="64"/>
      <c r="G7" s="66"/>
      <c r="H7" s="64"/>
      <c r="I7" s="64"/>
      <c r="J7" s="64"/>
      <c r="K7" s="133" t="s">
        <v>301</v>
      </c>
      <c r="L7" s="132">
        <f>L6/UTMConstants!C22</f>
        <v>5821255.536257997</v>
      </c>
      <c r="M7" s="64"/>
      <c r="N7" s="64"/>
      <c r="O7" s="82"/>
    </row>
    <row r="8" spans="2:15" ht="12.75" hidden="1" outlineLevel="1">
      <c r="B8" s="69"/>
      <c r="C8" s="64"/>
      <c r="D8" s="64"/>
      <c r="E8" s="64"/>
      <c r="F8" s="64"/>
      <c r="G8" s="64"/>
      <c r="H8" s="64"/>
      <c r="I8" s="64"/>
      <c r="J8" s="64"/>
      <c r="K8" s="133"/>
      <c r="L8" s="64"/>
      <c r="M8" s="64"/>
      <c r="N8" s="64"/>
      <c r="O8" s="82"/>
    </row>
    <row r="9" spans="2:15" ht="12.75" hidden="1" outlineLevel="1">
      <c r="B9" s="134"/>
      <c r="C9" s="135"/>
      <c r="D9" s="135"/>
      <c r="E9" s="135"/>
      <c r="F9" s="135"/>
      <c r="G9" s="64"/>
      <c r="H9" s="64"/>
      <c r="I9" s="64"/>
      <c r="J9" s="64"/>
      <c r="K9" s="133" t="s">
        <v>265</v>
      </c>
      <c r="L9" s="136">
        <f>(L7*PI())/(UTMConstants!C17*180)</f>
        <v>0.9142209702728946</v>
      </c>
      <c r="M9" s="64"/>
      <c r="N9" s="64"/>
      <c r="O9" s="82"/>
    </row>
    <row r="10" spans="2:15" ht="12.75" hidden="1" outlineLevel="1">
      <c r="B10" s="134"/>
      <c r="C10" s="135"/>
      <c r="D10" s="135"/>
      <c r="E10" s="135"/>
      <c r="F10" s="135"/>
      <c r="G10" s="64"/>
      <c r="H10" s="64"/>
      <c r="I10" s="64"/>
      <c r="J10" s="64"/>
      <c r="K10" s="133" t="s">
        <v>266</v>
      </c>
      <c r="L10" s="136">
        <f>L9*2</f>
        <v>1.8284419405457892</v>
      </c>
      <c r="M10" s="64"/>
      <c r="N10" s="64"/>
      <c r="O10" s="82"/>
    </row>
    <row r="11" spans="2:15" ht="12.75" hidden="1" outlineLevel="1">
      <c r="B11" s="134"/>
      <c r="C11" s="135"/>
      <c r="D11" s="135"/>
      <c r="E11" s="135"/>
      <c r="F11" s="135"/>
      <c r="G11" s="64"/>
      <c r="H11" s="64"/>
      <c r="I11" s="64"/>
      <c r="J11" s="64"/>
      <c r="K11" s="133" t="s">
        <v>267</v>
      </c>
      <c r="L11" s="136">
        <f>L9*4</f>
        <v>3.6568838810915785</v>
      </c>
      <c r="M11" s="64"/>
      <c r="N11" s="64"/>
      <c r="O11" s="82"/>
    </row>
    <row r="12" spans="2:15" ht="12.75" hidden="1" outlineLevel="1">
      <c r="B12" s="134"/>
      <c r="C12" s="135"/>
      <c r="D12" s="135"/>
      <c r="E12" s="135"/>
      <c r="F12" s="135"/>
      <c r="G12" s="64"/>
      <c r="H12" s="64"/>
      <c r="I12" s="64"/>
      <c r="J12" s="64"/>
      <c r="K12" s="133" t="s">
        <v>268</v>
      </c>
      <c r="L12" s="136">
        <f>L9*6</f>
        <v>5.4853258216373675</v>
      </c>
      <c r="M12" s="64"/>
      <c r="N12" s="64"/>
      <c r="O12" s="82"/>
    </row>
    <row r="13" spans="2:15" ht="12.75" hidden="1" outlineLevel="1">
      <c r="B13" s="69"/>
      <c r="C13" s="64"/>
      <c r="D13" s="64"/>
      <c r="E13" s="64"/>
      <c r="F13" s="64"/>
      <c r="G13" s="64"/>
      <c r="H13" s="64"/>
      <c r="I13" s="64"/>
      <c r="J13" s="64"/>
      <c r="K13" s="133" t="s">
        <v>269</v>
      </c>
      <c r="L13" s="136">
        <f>L9*8</f>
        <v>7.313767762183157</v>
      </c>
      <c r="M13" s="64"/>
      <c r="N13" s="64"/>
      <c r="O13" s="82"/>
    </row>
    <row r="14" spans="2:15" ht="12.75" hidden="1" outlineLevel="1">
      <c r="B14" s="69"/>
      <c r="C14" s="133"/>
      <c r="D14" s="133"/>
      <c r="E14" s="133"/>
      <c r="F14" s="133"/>
      <c r="G14" s="133"/>
      <c r="H14" s="64"/>
      <c r="I14" s="64"/>
      <c r="J14" s="64"/>
      <c r="K14" s="64"/>
      <c r="L14" s="64"/>
      <c r="M14" s="64"/>
      <c r="N14" s="64"/>
      <c r="O14" s="82"/>
    </row>
    <row r="15" spans="2:15" ht="12.75" hidden="1" outlineLevel="1">
      <c r="B15" s="81" t="s">
        <v>270</v>
      </c>
      <c r="C15" s="137" t="s">
        <v>271</v>
      </c>
      <c r="D15" s="138" t="s">
        <v>272</v>
      </c>
      <c r="E15" s="138" t="s">
        <v>273</v>
      </c>
      <c r="F15" s="138" t="s">
        <v>229</v>
      </c>
      <c r="G15" s="138" t="s">
        <v>230</v>
      </c>
      <c r="H15" s="64"/>
      <c r="I15" s="64"/>
      <c r="J15" s="64"/>
      <c r="K15" s="84" t="s">
        <v>274</v>
      </c>
      <c r="L15" s="64"/>
      <c r="M15" s="84"/>
      <c r="N15" s="64"/>
      <c r="O15" s="82"/>
    </row>
    <row r="16" spans="2:15" ht="12.75" hidden="1" outlineLevel="1">
      <c r="B16" s="131" t="s">
        <v>275</v>
      </c>
      <c r="C16" s="139">
        <f aca="true" t="shared" si="0" ref="C16:C21">TRUNC(F16)</f>
        <v>52</v>
      </c>
      <c r="D16" s="140">
        <f aca="true" t="shared" si="1" ref="D16:D21">TRUNC((F16-C16)*60)</f>
        <v>22</v>
      </c>
      <c r="E16" s="141">
        <f aca="true" t="shared" si="2" ref="E16:E21">(F16-C16-(D16/60))*3600</f>
        <v>51.61130037104622</v>
      </c>
      <c r="F16" s="142">
        <f aca="true" t="shared" si="3" ref="F16:F21">(G16/PI())*180</f>
        <v>52.38100313899196</v>
      </c>
      <c r="G16" s="136">
        <f>L9</f>
        <v>0.9142209702728946</v>
      </c>
      <c r="H16" s="64"/>
      <c r="I16" s="64"/>
      <c r="J16" s="64"/>
      <c r="K16" s="143" t="s">
        <v>276</v>
      </c>
      <c r="L16" s="132">
        <f>UTMConstants!C3*(1-UTMConstants!C8)/(1-UTMConstants!C8*UTM2WGS84!G23*UTM2WGS84!G23)^1.5</f>
        <v>6375715.052358433</v>
      </c>
      <c r="M16" s="64"/>
      <c r="N16" s="99"/>
      <c r="O16" s="82"/>
    </row>
    <row r="17" spans="2:15" ht="12.75" hidden="1" outlineLevel="1">
      <c r="B17" s="131" t="s">
        <v>277</v>
      </c>
      <c r="C17" s="139">
        <f t="shared" si="0"/>
        <v>0</v>
      </c>
      <c r="D17" s="140">
        <f t="shared" si="1"/>
        <v>8</v>
      </c>
      <c r="E17" s="141">
        <f t="shared" si="2"/>
        <v>22.396420986134093</v>
      </c>
      <c r="F17" s="142">
        <f t="shared" si="3"/>
        <v>0.13955456138503725</v>
      </c>
      <c r="G17" s="136">
        <f>((3*UTMConstants!C13/2)-(27*UTMConstants!C15/32))*SIN(L10)</f>
        <v>0.002435686582345438</v>
      </c>
      <c r="H17" s="64"/>
      <c r="I17" s="64"/>
      <c r="J17" s="64"/>
      <c r="K17" s="143" t="s">
        <v>278</v>
      </c>
      <c r="L17" s="132">
        <f>UTMConstants!C3/(1-UTMConstants!C8*UTM2WGS84!G23*UTM2WGS84!G23)^0.5</f>
        <v>6391624.181023561</v>
      </c>
      <c r="M17" s="64"/>
      <c r="N17" s="99"/>
      <c r="O17" s="82"/>
    </row>
    <row r="18" spans="2:15" ht="12.75" hidden="1" outlineLevel="1">
      <c r="B18" s="131" t="s">
        <v>279</v>
      </c>
      <c r="C18" s="139">
        <f t="shared" si="0"/>
        <v>0</v>
      </c>
      <c r="D18" s="140">
        <f t="shared" si="1"/>
        <v>0</v>
      </c>
      <c r="E18" s="141">
        <f t="shared" si="2"/>
        <v>-0.376182518271034</v>
      </c>
      <c r="F18" s="142">
        <f t="shared" si="3"/>
        <v>-0.0001044951439641761</v>
      </c>
      <c r="G18" s="136">
        <f>((21*UTMConstants!C14/16)-(55*UTMConstants!C16/32))*SIN(L11)</f>
        <v>-1.8237843145203525E-06</v>
      </c>
      <c r="H18" s="64"/>
      <c r="I18" s="64"/>
      <c r="J18" s="64"/>
      <c r="K18" s="64"/>
      <c r="L18" s="64"/>
      <c r="M18" s="64"/>
      <c r="N18" s="64"/>
      <c r="O18" s="82"/>
    </row>
    <row r="19" spans="2:15" ht="12.75" hidden="1" outlineLevel="1">
      <c r="B19" s="131" t="s">
        <v>280</v>
      </c>
      <c r="C19" s="139">
        <f t="shared" si="0"/>
        <v>0</v>
      </c>
      <c r="D19" s="140">
        <f t="shared" si="1"/>
        <v>0</v>
      </c>
      <c r="E19" s="141">
        <f t="shared" si="2"/>
        <v>-0.0010997246038153194</v>
      </c>
      <c r="F19" s="142">
        <f t="shared" si="3"/>
        <v>-3.054790566153665E-07</v>
      </c>
      <c r="G19" s="136">
        <f>(151*UTMConstants!C15)*SIN(L12)/96</f>
        <v>-5.33161533382431E-09</v>
      </c>
      <c r="H19" s="64"/>
      <c r="I19" s="64"/>
      <c r="J19" s="64"/>
      <c r="K19" s="64"/>
      <c r="L19" s="64"/>
      <c r="M19" s="64"/>
      <c r="N19" s="64"/>
      <c r="O19" s="82"/>
    </row>
    <row r="20" spans="2:15" ht="12.75" hidden="1" outlineLevel="1">
      <c r="B20" s="131" t="s">
        <v>281</v>
      </c>
      <c r="C20" s="139">
        <f t="shared" si="0"/>
        <v>0</v>
      </c>
      <c r="D20" s="140">
        <f t="shared" si="1"/>
        <v>0</v>
      </c>
      <c r="E20" s="141">
        <f t="shared" si="2"/>
        <v>3.013538245219075E-06</v>
      </c>
      <c r="F20" s="142">
        <f t="shared" si="3"/>
        <v>8.370939570052987E-10</v>
      </c>
      <c r="G20" s="136">
        <f>1097*UTMConstants!C16*SIN(L13)/512</f>
        <v>1.4610045698290314E-11</v>
      </c>
      <c r="H20" s="64"/>
      <c r="I20" s="64"/>
      <c r="J20" s="64"/>
      <c r="K20" s="64"/>
      <c r="L20" s="64"/>
      <c r="M20" s="64"/>
      <c r="N20" s="64"/>
      <c r="O20" s="82"/>
    </row>
    <row r="21" spans="2:15" ht="12.75" hidden="1" outlineLevel="1">
      <c r="B21" s="131" t="s">
        <v>282</v>
      </c>
      <c r="C21" s="139">
        <f t="shared" si="0"/>
        <v>52</v>
      </c>
      <c r="D21" s="140">
        <f t="shared" si="1"/>
        <v>31</v>
      </c>
      <c r="E21" s="141">
        <f t="shared" si="2"/>
        <v>13.630442127841702</v>
      </c>
      <c r="F21" s="142">
        <f t="shared" si="3"/>
        <v>52.52045290059107</v>
      </c>
      <c r="G21" s="136">
        <f>SUM(G16:G20)</f>
        <v>0.9166548277539202</v>
      </c>
      <c r="H21" s="64"/>
      <c r="I21" s="64"/>
      <c r="J21" s="64"/>
      <c r="K21" s="64"/>
      <c r="L21" s="64"/>
      <c r="M21" s="64"/>
      <c r="N21" s="64"/>
      <c r="O21" s="82"/>
    </row>
    <row r="22" spans="2:15" ht="12.75" hidden="1" outlineLevel="1">
      <c r="B22" s="131"/>
      <c r="C22" s="64"/>
      <c r="D22" s="144"/>
      <c r="E22" s="64"/>
      <c r="F22" s="64"/>
      <c r="G22" s="136"/>
      <c r="H22" s="64"/>
      <c r="I22" s="64"/>
      <c r="J22" s="64"/>
      <c r="K22" s="64"/>
      <c r="L22" s="64"/>
      <c r="M22" s="64"/>
      <c r="N22" s="64"/>
      <c r="O22" s="82"/>
    </row>
    <row r="23" spans="2:15" ht="12.75" hidden="1" outlineLevel="1">
      <c r="B23" s="131" t="s">
        <v>283</v>
      </c>
      <c r="C23" s="64"/>
      <c r="D23" s="144"/>
      <c r="E23" s="64"/>
      <c r="F23" s="64"/>
      <c r="G23" s="136">
        <f>SIN(G21)</f>
        <v>0.7935705995843972</v>
      </c>
      <c r="H23" s="64"/>
      <c r="I23" s="64"/>
      <c r="J23" s="64"/>
      <c r="K23" s="64"/>
      <c r="L23" s="64"/>
      <c r="M23" s="64"/>
      <c r="N23" s="64"/>
      <c r="O23" s="82"/>
    </row>
    <row r="24" spans="2:15" ht="12.75" hidden="1" outlineLevel="1">
      <c r="B24" s="131" t="s">
        <v>284</v>
      </c>
      <c r="C24" s="64"/>
      <c r="D24" s="144"/>
      <c r="E24" s="64"/>
      <c r="F24" s="64"/>
      <c r="G24" s="136">
        <f>1/COS(G21)</f>
        <v>1.643444287975193</v>
      </c>
      <c r="H24" s="64"/>
      <c r="I24" s="64"/>
      <c r="J24" s="64"/>
      <c r="K24" s="64"/>
      <c r="L24" s="64"/>
      <c r="M24" s="64"/>
      <c r="N24" s="64"/>
      <c r="O24" s="82"/>
    </row>
    <row r="25" spans="2:15" ht="15" hidden="1" outlineLevel="1">
      <c r="B25" s="131" t="s">
        <v>302</v>
      </c>
      <c r="C25" s="64"/>
      <c r="D25" s="144"/>
      <c r="E25" s="64"/>
      <c r="F25" s="64"/>
      <c r="G25" s="136">
        <f>J28/(UTMConstants!C22*UTM2WGS84!L17)</f>
        <v>2.041282335164516E-07</v>
      </c>
      <c r="H25" s="64"/>
      <c r="I25" s="64"/>
      <c r="J25" s="64"/>
      <c r="K25" s="64"/>
      <c r="L25" s="64"/>
      <c r="M25" s="64"/>
      <c r="N25" s="64"/>
      <c r="O25" s="82"/>
    </row>
    <row r="26" spans="2:15" ht="12.75" hidden="1" outlineLevel="1">
      <c r="B26" s="69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82"/>
    </row>
    <row r="27" spans="2:15" ht="16.5" hidden="1" outlineLevel="1">
      <c r="B27" s="69"/>
      <c r="C27" s="145"/>
      <c r="D27" s="145"/>
      <c r="E27" s="145"/>
      <c r="F27" s="145" t="s">
        <v>249</v>
      </c>
      <c r="G27" s="138" t="s">
        <v>36</v>
      </c>
      <c r="H27" s="138" t="s">
        <v>303</v>
      </c>
      <c r="I27" s="138" t="s">
        <v>304</v>
      </c>
      <c r="J27" s="138" t="s">
        <v>285</v>
      </c>
      <c r="K27" s="146" t="s">
        <v>286</v>
      </c>
      <c r="L27" s="64"/>
      <c r="M27" s="64"/>
      <c r="N27" s="64"/>
      <c r="O27" s="82"/>
    </row>
    <row r="28" spans="2:15" ht="12.75" hidden="1" outlineLevel="1">
      <c r="B28" s="69"/>
      <c r="C28" s="135"/>
      <c r="D28" s="135"/>
      <c r="E28" s="135"/>
      <c r="F28" s="135">
        <v>1</v>
      </c>
      <c r="G28" s="136">
        <f>UTMConstants!C13</f>
        <v>0.0016792203863837205</v>
      </c>
      <c r="H28" s="136">
        <f>E7/L17</f>
        <v>0.023373251153311854</v>
      </c>
      <c r="I28" s="136">
        <f>(E7*E7)/(L16*L17)</f>
        <v>0.0005476720574514197</v>
      </c>
      <c r="J28" s="136">
        <f>TAN(G21)</f>
        <v>1.3041890689920268</v>
      </c>
      <c r="K28" s="136">
        <f>L17/L16</f>
        <v>1.0024952697124134</v>
      </c>
      <c r="L28" s="64"/>
      <c r="M28" s="64"/>
      <c r="N28" s="64"/>
      <c r="O28" s="82"/>
    </row>
    <row r="29" spans="2:15" ht="12.75" hidden="1" outlineLevel="1">
      <c r="B29" s="69"/>
      <c r="C29" s="135"/>
      <c r="D29" s="135"/>
      <c r="E29" s="135"/>
      <c r="F29" s="135">
        <v>2</v>
      </c>
      <c r="G29" s="136">
        <f>G28*G28</f>
        <v>2.819781106046692E-06</v>
      </c>
      <c r="H29" s="136">
        <f>H28*H28</f>
        <v>0.0005463088694757939</v>
      </c>
      <c r="I29" s="136">
        <f>I28*I28</f>
        <v>2.999446825130712E-07</v>
      </c>
      <c r="J29" s="136">
        <f>J28*J28</f>
        <v>1.7009091276782897</v>
      </c>
      <c r="K29" s="136">
        <f>K28*K28</f>
        <v>1.0049967657957646</v>
      </c>
      <c r="L29" s="64"/>
      <c r="M29" s="64"/>
      <c r="N29" s="64"/>
      <c r="O29" s="82"/>
    </row>
    <row r="30" spans="2:15" ht="12.75" hidden="1" outlineLevel="1">
      <c r="B30" s="69"/>
      <c r="C30" s="135"/>
      <c r="D30" s="135"/>
      <c r="E30" s="135"/>
      <c r="F30" s="135">
        <v>3</v>
      </c>
      <c r="G30" s="136">
        <f>G28*G29</f>
        <v>4.7350339184132405E-09</v>
      </c>
      <c r="H30" s="136">
        <f>H28*H29</f>
        <v>1.2769014413539595E-05</v>
      </c>
      <c r="I30" s="136">
        <f>I28*I29</f>
        <v>1.6427132139354658E-10</v>
      </c>
      <c r="J30" s="136">
        <f>J28*J29</f>
        <v>2.218307091666789</v>
      </c>
      <c r="K30" s="136">
        <f>K29*K28</f>
        <v>1.0075045037865282</v>
      </c>
      <c r="L30" s="64"/>
      <c r="M30" s="64"/>
      <c r="N30" s="64"/>
      <c r="O30" s="82"/>
    </row>
    <row r="31" spans="2:15" ht="12.75" hidden="1" outlineLevel="1">
      <c r="B31" s="69"/>
      <c r="C31" s="135"/>
      <c r="D31" s="135"/>
      <c r="E31" s="135"/>
      <c r="F31" s="135">
        <v>4</v>
      </c>
      <c r="G31" s="136">
        <f>G29*G29</f>
        <v>7.951165486017904E-12</v>
      </c>
      <c r="H31" s="136">
        <f>H29*H29</f>
        <v>2.9845338086792E-07</v>
      </c>
      <c r="I31" s="136"/>
      <c r="J31" s="136">
        <f>J29*J29</f>
        <v>2.8930918606193203</v>
      </c>
      <c r="K31" s="136">
        <f>K29*K29</f>
        <v>1.0100184992599468</v>
      </c>
      <c r="L31" s="64"/>
      <c r="M31" s="64"/>
      <c r="N31" s="64"/>
      <c r="O31" s="82"/>
    </row>
    <row r="32" spans="2:15" ht="12.75" hidden="1" outlineLevel="1">
      <c r="B32" s="69"/>
      <c r="C32" s="135"/>
      <c r="D32" s="135"/>
      <c r="E32" s="135"/>
      <c r="F32" s="135">
        <v>5</v>
      </c>
      <c r="G32" s="136"/>
      <c r="H32" s="136">
        <f>H31*H28</f>
        <v>6.975825828580933E-09</v>
      </c>
      <c r="I32" s="136"/>
      <c r="J32" s="136">
        <f>J31*J28</f>
        <v>3.7731387802095218</v>
      </c>
      <c r="K32" s="136"/>
      <c r="L32" s="64"/>
      <c r="M32" s="64"/>
      <c r="N32" s="64"/>
      <c r="O32" s="82"/>
    </row>
    <row r="33" spans="2:15" ht="12.75" hidden="1" outlineLevel="1">
      <c r="B33" s="69"/>
      <c r="C33" s="135"/>
      <c r="D33" s="135"/>
      <c r="E33" s="135"/>
      <c r="F33" s="135">
        <v>6</v>
      </c>
      <c r="G33" s="136"/>
      <c r="H33" s="136">
        <f>H30*H30</f>
        <v>1.6304772909318194E-10</v>
      </c>
      <c r="I33" s="136"/>
      <c r="J33" s="136">
        <f>J30*J30</f>
        <v>4.920886352939168</v>
      </c>
      <c r="K33" s="136"/>
      <c r="L33" s="64"/>
      <c r="M33" s="64"/>
      <c r="N33" s="64"/>
      <c r="O33" s="82"/>
    </row>
    <row r="34" spans="2:15" ht="12.75" hidden="1" outlineLevel="1">
      <c r="B34" s="69"/>
      <c r="C34" s="135"/>
      <c r="D34" s="135"/>
      <c r="E34" s="135"/>
      <c r="F34" s="135">
        <v>7</v>
      </c>
      <c r="G34" s="136"/>
      <c r="H34" s="136">
        <f>H28*H33</f>
        <v>3.810955522072093E-12</v>
      </c>
      <c r="I34" s="136"/>
      <c r="J34" s="136"/>
      <c r="K34" s="136"/>
      <c r="L34" s="64"/>
      <c r="M34" s="64"/>
      <c r="N34" s="64"/>
      <c r="O34" s="82"/>
    </row>
    <row r="35" spans="2:15" ht="12.75" hidden="1" outlineLevel="1">
      <c r="B35" s="134"/>
      <c r="C35" s="135"/>
      <c r="D35" s="135"/>
      <c r="E35" s="135"/>
      <c r="F35" s="135"/>
      <c r="G35" s="64"/>
      <c r="H35" s="64"/>
      <c r="I35" s="64"/>
      <c r="J35" s="64"/>
      <c r="K35" s="64"/>
      <c r="L35" s="64"/>
      <c r="M35" s="64"/>
      <c r="N35" s="64"/>
      <c r="O35" s="82"/>
    </row>
    <row r="36" spans="2:17" ht="12.75" hidden="1" outlineLevel="1">
      <c r="B36" s="69" t="s">
        <v>77</v>
      </c>
      <c r="C36" s="64" t="s">
        <v>287</v>
      </c>
      <c r="D36" s="64" t="s">
        <v>288</v>
      </c>
      <c r="E36" s="144" t="s">
        <v>289</v>
      </c>
      <c r="F36" s="144" t="s">
        <v>290</v>
      </c>
      <c r="G36" s="144" t="s">
        <v>291</v>
      </c>
      <c r="H36" s="64"/>
      <c r="I36" s="64"/>
      <c r="J36" s="64"/>
      <c r="K36" s="64"/>
      <c r="L36" s="64" t="s">
        <v>78</v>
      </c>
      <c r="M36" s="64" t="s">
        <v>287</v>
      </c>
      <c r="N36" s="64" t="s">
        <v>288</v>
      </c>
      <c r="O36" s="147" t="s">
        <v>289</v>
      </c>
      <c r="P36" s="148" t="s">
        <v>290</v>
      </c>
      <c r="Q36" s="148" t="s">
        <v>291</v>
      </c>
    </row>
    <row r="37" spans="2:17" ht="12.75" hidden="1" outlineLevel="1">
      <c r="B37" s="69" t="s">
        <v>292</v>
      </c>
      <c r="C37" s="139">
        <f aca="true" t="shared" si="4" ref="C37:C42">TRUNC(F37)</f>
        <v>52</v>
      </c>
      <c r="D37" s="76">
        <f aca="true" t="shared" si="5" ref="D37:D42">TRUNC((F37-C37)*60)</f>
        <v>31</v>
      </c>
      <c r="E37" s="141">
        <f aca="true" t="shared" si="6" ref="E37:E42">(F37-C37-(D37/60))*3600</f>
        <v>13.630442127841702</v>
      </c>
      <c r="F37" s="149">
        <f aca="true" t="shared" si="7" ref="F37:F42">(G37/PI())*180</f>
        <v>52.52045290059107</v>
      </c>
      <c r="G37" s="136">
        <f>G21</f>
        <v>0.9166548277539202</v>
      </c>
      <c r="H37" s="64"/>
      <c r="I37" s="64"/>
      <c r="J37" s="64"/>
      <c r="K37" s="64"/>
      <c r="L37" s="64" t="s">
        <v>293</v>
      </c>
      <c r="M37" s="139">
        <f aca="true" t="shared" si="8" ref="M37:M42">TRUNC(P37)</f>
        <v>3</v>
      </c>
      <c r="N37" s="76">
        <f>TRUNC((P37-M37)*60)</f>
        <v>0</v>
      </c>
      <c r="O37" s="141">
        <f>(P37-M37-(N37/60))*3600</f>
        <v>0</v>
      </c>
      <c r="P37" s="149">
        <f>(E3*UTMConstants!C23)+UTMConstants!C24-UTMConstants!C23</f>
        <v>3</v>
      </c>
      <c r="Q37" s="136">
        <f>(P37/180)*PI()</f>
        <v>0.05235987755982988</v>
      </c>
    </row>
    <row r="38" spans="2:17" ht="12.75" hidden="1" outlineLevel="1">
      <c r="B38" s="69" t="s">
        <v>242</v>
      </c>
      <c r="C38" s="139">
        <f t="shared" si="4"/>
        <v>0</v>
      </c>
      <c r="D38" s="76">
        <f t="shared" si="5"/>
        <v>-1</v>
      </c>
      <c r="E38" s="141">
        <f t="shared" si="6"/>
        <v>-13.664166106642666</v>
      </c>
      <c r="F38" s="149">
        <f t="shared" si="7"/>
        <v>-0.020462268362956296</v>
      </c>
      <c r="G38" s="136">
        <f>-((J28/(UTMConstants!C22*L16))*H28*E6/2)</f>
        <v>-0.00035713395536025747</v>
      </c>
      <c r="H38" s="64"/>
      <c r="I38" s="64"/>
      <c r="J38" s="64"/>
      <c r="K38" s="64"/>
      <c r="L38" s="64" t="s">
        <v>242</v>
      </c>
      <c r="M38" s="139">
        <f t="shared" si="8"/>
        <v>2</v>
      </c>
      <c r="N38" s="76">
        <f>TRUNC((P38-M38)*60)</f>
        <v>12</v>
      </c>
      <c r="O38" s="141">
        <f>(P38-M38-(N38/60))*3600</f>
        <v>3.1749424664502923</v>
      </c>
      <c r="P38" s="149">
        <f>(Q38/PI())*180</f>
        <v>2.200881928462903</v>
      </c>
      <c r="Q38" s="136">
        <f>G24*H28</f>
        <v>0.038412636099319955</v>
      </c>
    </row>
    <row r="39" spans="2:17" ht="12.75" hidden="1" outlineLevel="1">
      <c r="B39" s="69" t="s">
        <v>244</v>
      </c>
      <c r="C39" s="139">
        <f t="shared" si="4"/>
        <v>0</v>
      </c>
      <c r="D39" s="76">
        <f t="shared" si="5"/>
        <v>0</v>
      </c>
      <c r="E39" s="141">
        <f t="shared" si="6"/>
        <v>0.033760847341938266</v>
      </c>
      <c r="F39" s="149">
        <f t="shared" si="7"/>
        <v>9.378013150538407E-06</v>
      </c>
      <c r="G39" s="136">
        <f>(J28/(UTMConstants!C22*L16))*(H30*E6/24)*(-4*K29+9*K28*(1-J29)+12*J29)</f>
        <v>1.6367720677222183E-07</v>
      </c>
      <c r="H39" s="64"/>
      <c r="I39" s="64"/>
      <c r="J39" s="64"/>
      <c r="K39" s="64"/>
      <c r="L39" s="64" t="s">
        <v>244</v>
      </c>
      <c r="M39" s="139">
        <f t="shared" si="8"/>
        <v>0</v>
      </c>
      <c r="N39" s="76">
        <f>TRUNC((P39-M39)*60)</f>
        <v>0</v>
      </c>
      <c r="O39" s="141">
        <f>(P39-M39-(N39/60))*3600</f>
        <v>-3.1773457294298373</v>
      </c>
      <c r="P39" s="149">
        <f>(Q39/PI())*180</f>
        <v>-0.0008825960359527326</v>
      </c>
      <c r="Q39" s="136">
        <f>-G24*(H30/6)*(K28+2*J29)</f>
        <v>-1.540420679242543E-05</v>
      </c>
    </row>
    <row r="40" spans="2:17" ht="12.75" hidden="1" outlineLevel="1">
      <c r="B40" s="69" t="s">
        <v>246</v>
      </c>
      <c r="C40" s="139">
        <f t="shared" si="4"/>
        <v>0</v>
      </c>
      <c r="D40" s="76">
        <f t="shared" si="5"/>
        <v>0</v>
      </c>
      <c r="E40" s="141">
        <f t="shared" si="6"/>
        <v>-2.092695943224394E-05</v>
      </c>
      <c r="F40" s="149">
        <f t="shared" si="7"/>
        <v>-5.813044286734428E-09</v>
      </c>
      <c r="G40" s="136">
        <f>-(J28/(UTMConstants!C22*L16))*(H32*E6/720)*(8*K31*(11-24*J29)-12*K30*(21-71*J29)+15*K29*(15-98*J29+15*J31)+180*K28*(5*J29-3*J31)+360*J31)</f>
        <v>-1.0145676236776111E-10</v>
      </c>
      <c r="H40" s="64"/>
      <c r="I40" s="64"/>
      <c r="J40" s="64"/>
      <c r="K40" s="64"/>
      <c r="L40" s="64" t="s">
        <v>246</v>
      </c>
      <c r="M40" s="139">
        <f t="shared" si="8"/>
        <v>0</v>
      </c>
      <c r="N40" s="76">
        <f>TRUNC((P40-M40)*60)</f>
        <v>0</v>
      </c>
      <c r="O40" s="141">
        <f>(P40-M40-(N40/60))*3600</f>
        <v>0.0024062502354071846</v>
      </c>
      <c r="P40" s="149">
        <f>(Q40/PI())*180</f>
        <v>6.684028431686624E-07</v>
      </c>
      <c r="Q40" s="136">
        <f>G24*(H32/120)*(-4*K30*(1-6*J29)+K29*(9-68*J29)+72*K28*J29+24*J31)</f>
        <v>1.1665830342984448E-08</v>
      </c>
    </row>
    <row r="41" spans="2:17" ht="12.75" hidden="1" outlineLevel="1">
      <c r="B41" s="69" t="s">
        <v>247</v>
      </c>
      <c r="C41" s="139">
        <f t="shared" si="4"/>
        <v>0</v>
      </c>
      <c r="D41" s="76">
        <f t="shared" si="5"/>
        <v>0</v>
      </c>
      <c r="E41" s="141">
        <f t="shared" si="6"/>
        <v>1.6182380509369898E-08</v>
      </c>
      <c r="F41" s="149">
        <f t="shared" si="7"/>
        <v>4.495105697047194E-12</v>
      </c>
      <c r="G41" s="136">
        <f>(J28/(UTMConstants!C22*L16))*(H34*E6/40320)*(1385+3633*J29+4095*J31+1575*J33)</f>
        <v>7.845439463862828E-14</v>
      </c>
      <c r="H41" s="64"/>
      <c r="I41" s="64"/>
      <c r="J41" s="64"/>
      <c r="K41" s="64"/>
      <c r="L41" s="64" t="s">
        <v>247</v>
      </c>
      <c r="M41" s="139">
        <f t="shared" si="8"/>
        <v>0</v>
      </c>
      <c r="N41" s="76">
        <f>TRUNC((P41-M41)*60)</f>
        <v>0</v>
      </c>
      <c r="O41" s="141">
        <f>(P41-M41-(N41/60))*3600</f>
        <v>-2.1912643883804403E-06</v>
      </c>
      <c r="P41" s="149">
        <f>(Q41/PI())*180</f>
        <v>-6.086845523279001E-10</v>
      </c>
      <c r="Q41" s="136">
        <f>-G24*(H34/5040)*(61+662*J29+1320*J31+720*J33)</f>
        <v>-1.0623549544149571E-11</v>
      </c>
    </row>
    <row r="42" spans="2:17" ht="12.75" collapsed="1">
      <c r="B42" s="101" t="s">
        <v>77</v>
      </c>
      <c r="C42" s="150">
        <f t="shared" si="4"/>
        <v>52</v>
      </c>
      <c r="D42" s="114">
        <f t="shared" si="5"/>
        <v>30</v>
      </c>
      <c r="E42" s="151">
        <f t="shared" si="6"/>
        <v>1.595774392626481E-05</v>
      </c>
      <c r="F42" s="149">
        <f t="shared" si="7"/>
        <v>52.50000000443271</v>
      </c>
      <c r="G42" s="136">
        <f>SUM(G37:G41)</f>
        <v>0.9162978573743884</v>
      </c>
      <c r="H42" s="64"/>
      <c r="I42" s="64"/>
      <c r="J42" s="64"/>
      <c r="K42" s="64"/>
      <c r="L42" s="102" t="s">
        <v>78</v>
      </c>
      <c r="M42" s="150">
        <f t="shared" si="8"/>
        <v>5</v>
      </c>
      <c r="N42" s="114">
        <f>ABS(TRUNC((P42-M42)*60))</f>
        <v>12</v>
      </c>
      <c r="O42" s="152">
        <f>ABS((P42-M42-(N42/60))*3600)</f>
        <v>7.959942704971468E-07</v>
      </c>
      <c r="P42" s="149">
        <f>(Q42/PI())*180</f>
        <v>5.2000000002211095</v>
      </c>
      <c r="Q42" s="136">
        <f>SUM(Q37:Q41)</f>
        <v>0.09075712110756422</v>
      </c>
    </row>
    <row r="43" spans="2:15" ht="12.75" customHeight="1" hidden="1" outlineLevel="1">
      <c r="B43" s="131" t="s">
        <v>256</v>
      </c>
      <c r="C43" s="64" t="s">
        <v>287</v>
      </c>
      <c r="D43" s="64" t="s">
        <v>288</v>
      </c>
      <c r="E43" s="144" t="s">
        <v>289</v>
      </c>
      <c r="F43" s="144" t="s">
        <v>290</v>
      </c>
      <c r="G43" s="144" t="s">
        <v>291</v>
      </c>
      <c r="H43" s="64"/>
      <c r="I43" s="64"/>
      <c r="J43" s="64"/>
      <c r="K43" s="64"/>
      <c r="L43" s="64" t="s">
        <v>257</v>
      </c>
      <c r="M43" s="64"/>
      <c r="N43" s="64"/>
      <c r="O43" s="82"/>
    </row>
    <row r="44" spans="2:17" ht="12.75" hidden="1" outlineLevel="1">
      <c r="B44" s="69" t="s">
        <v>242</v>
      </c>
      <c r="C44" s="139">
        <f>TRUNC(F44)</f>
        <v>-1</v>
      </c>
      <c r="D44" s="76">
        <f>TRUNC((F44-C44)*60)</f>
        <v>-44</v>
      </c>
      <c r="E44" s="141">
        <f>(F44-C44-(D44/60))*3600</f>
        <v>-47.59868970517345</v>
      </c>
      <c r="F44" s="149">
        <f>(G44/PI())*180</f>
        <v>-1.7465551915847704</v>
      </c>
      <c r="G44" s="136">
        <f>-J28*H28</f>
        <v>-0.030483138660954603</v>
      </c>
      <c r="H44" s="64"/>
      <c r="I44" s="64"/>
      <c r="J44" s="64"/>
      <c r="K44" s="64"/>
      <c r="L44" s="64" t="s">
        <v>242</v>
      </c>
      <c r="M44" s="64"/>
      <c r="N44" s="64"/>
      <c r="O44" s="82"/>
      <c r="Q44" s="136">
        <f>1+I28/2</f>
        <v>1.0002738360287258</v>
      </c>
    </row>
    <row r="45" spans="2:17" ht="12.75" hidden="1" outlineLevel="1">
      <c r="B45" s="69" t="s">
        <v>244</v>
      </c>
      <c r="C45" s="139">
        <f>TRUNC(F45)</f>
        <v>0</v>
      </c>
      <c r="D45" s="76">
        <f>TRUNC((F45-C45)*60)</f>
        <v>0</v>
      </c>
      <c r="E45" s="141">
        <f>(F45-C45-(D45/60))*3600</f>
        <v>3.0896434631721417</v>
      </c>
      <c r="F45" s="149">
        <f>(G45/PI())*180</f>
        <v>0.0008582342953255949</v>
      </c>
      <c r="G45" s="136">
        <f>(J28*H30/3)*(-2*K29+3*K28+J29)</f>
        <v>1.497901420696501E-05</v>
      </c>
      <c r="H45" s="64"/>
      <c r="I45" s="64"/>
      <c r="J45" s="64"/>
      <c r="K45" s="64"/>
      <c r="L45" s="64" t="s">
        <v>244</v>
      </c>
      <c r="M45" s="64"/>
      <c r="N45" s="64"/>
      <c r="O45" s="82"/>
      <c r="Q45" s="136">
        <f>(I29/24)*(4*K28*(1-6*J29)-3*(1-16*J29)-24*J29/K28)</f>
        <v>1.2619266930130105E-08</v>
      </c>
    </row>
    <row r="46" spans="2:17" ht="12.75" hidden="1" outlineLevel="1">
      <c r="B46" s="69" t="s">
        <v>246</v>
      </c>
      <c r="C46" s="139">
        <f>TRUNC(F46)</f>
        <v>0</v>
      </c>
      <c r="D46" s="76">
        <f>TRUNC((F46-C46)*60)</f>
        <v>0</v>
      </c>
      <c r="E46" s="141">
        <f>(F46-C46-(D46/60))*3600</f>
        <v>-0.002401119474711851</v>
      </c>
      <c r="F46" s="149">
        <f>(G46/PI())*180</f>
        <v>-6.669776318644031E-07</v>
      </c>
      <c r="G46" s="136">
        <f>-(J28*H32/15)*(K31*(11-24*J29)-3*K30*(8-23*J29)+5*K29*(3-14*J29)+30*K28*J29+3*J31)</f>
        <v>-1.1640955713188479E-08</v>
      </c>
      <c r="H46" s="64"/>
      <c r="I46" s="64"/>
      <c r="J46" s="64"/>
      <c r="K46" s="64"/>
      <c r="L46" s="64" t="s">
        <v>246</v>
      </c>
      <c r="M46" s="64"/>
      <c r="N46" s="64"/>
      <c r="O46" s="82"/>
      <c r="Q46" s="136">
        <f>I30/720</f>
        <v>2.281546130465925E-13</v>
      </c>
    </row>
    <row r="47" spans="2:17" ht="12.75" hidden="1" outlineLevel="1">
      <c r="B47" s="69" t="s">
        <v>247</v>
      </c>
      <c r="C47" s="139">
        <f>TRUNC(F47)</f>
        <v>0</v>
      </c>
      <c r="D47" s="76">
        <f>TRUNC((F47-C47)*60)</f>
        <v>0</v>
      </c>
      <c r="E47" s="141">
        <f>(F47-C47-(D47/60))*3600</f>
        <v>2.1909029755482683E-06</v>
      </c>
      <c r="F47" s="149">
        <f>(G47/PI())*180</f>
        <v>6.08584159874519E-10</v>
      </c>
      <c r="G47" s="136">
        <f>(J28*H34/315)*(17+77*J29+105*J31+45*J33)</f>
        <v>1.0621797365293917E-11</v>
      </c>
      <c r="H47" s="64"/>
      <c r="I47" s="64"/>
      <c r="J47" s="64"/>
      <c r="K47" s="64"/>
      <c r="L47" s="64" t="s">
        <v>294</v>
      </c>
      <c r="M47" s="64"/>
      <c r="N47" s="64"/>
      <c r="O47" s="82"/>
      <c r="Q47" s="136">
        <f>SUM(Q44:Q46)</f>
        <v>1.000273848648221</v>
      </c>
    </row>
    <row r="48" spans="2:17" ht="12.75" collapsed="1">
      <c r="B48" s="101" t="s">
        <v>256</v>
      </c>
      <c r="C48" s="150">
        <f>TRUNC(F48)</f>
        <v>-1</v>
      </c>
      <c r="D48" s="114">
        <f>TRUNC((F48-C48)*60)</f>
        <v>-44</v>
      </c>
      <c r="E48" s="115">
        <f>(F48-C48-(D48/60))*3600</f>
        <v>-44.511445170573836</v>
      </c>
      <c r="F48" s="149">
        <f>(G48/PI())*180</f>
        <v>-1.7456976236584927</v>
      </c>
      <c r="G48" s="136">
        <f>SUM(G44:G47)</f>
        <v>-0.030468171277081554</v>
      </c>
      <c r="H48" s="64"/>
      <c r="I48" s="64"/>
      <c r="J48" s="64"/>
      <c r="K48" s="64"/>
      <c r="L48" s="102" t="s">
        <v>257</v>
      </c>
      <c r="M48" s="102"/>
      <c r="N48" s="102"/>
      <c r="O48" s="153">
        <f>Q48</f>
        <v>0.9998737391087618</v>
      </c>
      <c r="Q48" s="136">
        <f>Q47*UTMConstants!C22</f>
        <v>0.9998737391087618</v>
      </c>
    </row>
    <row r="49" spans="2:15" ht="12.75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20"/>
    </row>
    <row r="51" ht="12.75">
      <c r="O51" s="121" t="s">
        <v>258</v>
      </c>
    </row>
    <row r="52" ht="12.75">
      <c r="O52" s="122" t="s">
        <v>259</v>
      </c>
    </row>
    <row r="53" ht="12.75">
      <c r="O53" s="123" t="s">
        <v>260</v>
      </c>
    </row>
  </sheetData>
  <sheetProtection/>
  <printOptions/>
  <pageMargins left="0.75" right="0.75" top="1" bottom="1" header="0.5" footer="0.5"/>
  <pageSetup fitToHeight="1" fitToWidth="1" horizontalDpi="180" verticalDpi="180" orientation="portrait" paperSize="9" scale="87" r:id="rId2"/>
  <headerFooter alignWithMargins="0">
    <oddHeader>&amp;C&amp;F&amp;RE, N Zone to Lat, Long</oddHeader>
    <oddFooter>&amp;L&amp;D&amp;CGDA Technical Manual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 Gemini 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Veldman</dc:creator>
  <cp:keywords/>
  <dc:description/>
  <cp:lastModifiedBy>Prop</cp:lastModifiedBy>
  <dcterms:created xsi:type="dcterms:W3CDTF">2003-04-01T19:02:52Z</dcterms:created>
  <dcterms:modified xsi:type="dcterms:W3CDTF">2011-02-14T17:22:31Z</dcterms:modified>
  <cp:category/>
  <cp:version/>
  <cp:contentType/>
  <cp:contentStatus/>
</cp:coreProperties>
</file>